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DPTO CARTERA\CARTERA 1\CARTERA\RELACION CUENTAS\RELACION CUENTA 2024\RELACION CUENTA COMFENALCO 2024\"/>
    </mc:Choice>
  </mc:AlternateContent>
  <xr:revisionPtr revIDLastSave="0" documentId="8_{E359B2E4-B455-4B9C-B9EF-2EF94B4D9A70}" xr6:coauthVersionLast="47" xr6:coauthVersionMax="47" xr10:uidLastSave="{00000000-0000-0000-0000-000000000000}"/>
  <bookViews>
    <workbookView xWindow="-120" yWindow="-120" windowWidth="29040" windowHeight="15840" activeTab="2" xr2:uid="{C8B726D7-83CB-4ABC-9FA2-564D4F8931C6}"/>
  </bookViews>
  <sheets>
    <sheet name="COMFENALCO SUB" sheetId="1" r:id="rId1"/>
    <sheet name="COMFENALCO" sheetId="2" r:id="rId2"/>
    <sheet name="FORMATO CARTERA" sheetId="3" r:id="rId3"/>
  </sheets>
  <externalReferences>
    <externalReference r:id="rId4"/>
    <externalReference r:id="rId5"/>
    <externalReference r:id="rId6"/>
  </externalReferences>
  <definedNames>
    <definedName name="_xlnm._FilterDatabase" localSheetId="1" hidden="1">COMFENALCO!$A$9:$W$49</definedName>
    <definedName name="_xlnm._FilterDatabase" localSheetId="2" hidden="1">'FORMATO CARTERA'!$A$5:$L$18</definedName>
    <definedName name="_xlnm.Print_Titles" localSheetId="1">COMFENALCO!$8:$9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3" l="1"/>
  <c r="H18" i="3"/>
  <c r="V48" i="2" l="1"/>
  <c r="N48" i="2"/>
  <c r="K48" i="2"/>
  <c r="V47" i="2"/>
  <c r="N47" i="2"/>
  <c r="K47" i="2"/>
  <c r="V46" i="2"/>
  <c r="N46" i="2"/>
  <c r="K46" i="2"/>
  <c r="V45" i="2"/>
  <c r="N45" i="2"/>
  <c r="K45" i="2"/>
  <c r="V44" i="2"/>
  <c r="V43" i="2"/>
  <c r="N43" i="2"/>
  <c r="K43" i="2"/>
  <c r="V42" i="2"/>
  <c r="N42" i="2"/>
  <c r="K42" i="2"/>
  <c r="V41" i="2"/>
  <c r="L41" i="2"/>
  <c r="N41" i="2" s="1"/>
  <c r="K41" i="2"/>
  <c r="V40" i="2"/>
  <c r="L40" i="2"/>
  <c r="N40" i="2" s="1"/>
  <c r="K40" i="2"/>
  <c r="V39" i="2"/>
  <c r="L39" i="2"/>
  <c r="N39" i="2" s="1"/>
  <c r="K39" i="2"/>
  <c r="V38" i="2"/>
  <c r="N38" i="2"/>
  <c r="K38" i="2"/>
  <c r="V37" i="2"/>
  <c r="N37" i="2"/>
  <c r="K37" i="2"/>
  <c r="V36" i="2"/>
  <c r="R36" i="2"/>
  <c r="V35" i="2"/>
  <c r="R35" i="2"/>
  <c r="N35" i="2"/>
  <c r="I35" i="2"/>
  <c r="K35" i="2" s="1"/>
  <c r="B35" i="2"/>
  <c r="V34" i="2"/>
  <c r="R34" i="2"/>
  <c r="N34" i="2"/>
  <c r="I34" i="2"/>
  <c r="K34" i="2" s="1"/>
  <c r="B34" i="2"/>
  <c r="V33" i="2"/>
  <c r="R33" i="2"/>
  <c r="V32" i="2"/>
  <c r="R32" i="2"/>
  <c r="L32" i="2"/>
  <c r="N32" i="2" s="1"/>
  <c r="K32" i="2"/>
  <c r="V31" i="2"/>
  <c r="R31" i="2"/>
  <c r="N31" i="2"/>
  <c r="P31" i="2" s="1"/>
  <c r="V30" i="2"/>
  <c r="R30" i="2"/>
  <c r="N30" i="2"/>
  <c r="P30" i="2" s="1"/>
  <c r="Q30" i="2" s="1"/>
  <c r="V29" i="2"/>
  <c r="R29" i="2"/>
  <c r="V28" i="2"/>
  <c r="R28" i="2"/>
  <c r="N28" i="2"/>
  <c r="P28" i="2" s="1"/>
  <c r="Q28" i="2" s="1"/>
  <c r="M28" i="2"/>
  <c r="L28" i="2"/>
  <c r="V27" i="2"/>
  <c r="R27" i="2"/>
  <c r="V26" i="2"/>
  <c r="R26" i="2"/>
  <c r="L26" i="2"/>
  <c r="N26" i="2" s="1"/>
  <c r="P26" i="2" s="1"/>
  <c r="Q26" i="2" s="1"/>
  <c r="V25" i="2"/>
  <c r="R25" i="2"/>
  <c r="N25" i="2"/>
  <c r="P25" i="2" s="1"/>
  <c r="Q25" i="2" s="1"/>
  <c r="V24" i="2"/>
  <c r="R24" i="2"/>
  <c r="N24" i="2"/>
  <c r="P24" i="2" s="1"/>
  <c r="Q24" i="2" s="1"/>
  <c r="L24" i="2"/>
  <c r="V23" i="2"/>
  <c r="R23" i="2"/>
  <c r="V22" i="2"/>
  <c r="R22" i="2"/>
  <c r="K22" i="2"/>
  <c r="V21" i="2"/>
  <c r="R21" i="2"/>
  <c r="N21" i="2"/>
  <c r="P21" i="2" s="1"/>
  <c r="Q21" i="2" s="1"/>
  <c r="V20" i="2"/>
  <c r="R20" i="2"/>
  <c r="L20" i="2"/>
  <c r="N20" i="2" s="1"/>
  <c r="P20" i="2" s="1"/>
  <c r="Q20" i="2" s="1"/>
  <c r="V19" i="2"/>
  <c r="R19" i="2"/>
  <c r="N19" i="2"/>
  <c r="P19" i="2" s="1"/>
  <c r="Q19" i="2" s="1"/>
  <c r="L19" i="2"/>
  <c r="V18" i="2"/>
  <c r="R18" i="2"/>
  <c r="N18" i="2"/>
  <c r="O18" i="2" s="1"/>
  <c r="M18" i="2"/>
  <c r="L18" i="2"/>
  <c r="V17" i="2"/>
  <c r="R17" i="2"/>
  <c r="L17" i="2"/>
  <c r="N17" i="2" s="1"/>
  <c r="P17" i="2" s="1"/>
  <c r="Q17" i="2" s="1"/>
  <c r="V16" i="2"/>
  <c r="R16" i="2"/>
  <c r="V15" i="2"/>
  <c r="R15" i="2"/>
  <c r="V14" i="2"/>
  <c r="R14" i="2"/>
  <c r="N14" i="2"/>
  <c r="P14" i="2" s="1"/>
  <c r="Q14" i="2" s="1"/>
  <c r="L14" i="2"/>
  <c r="V13" i="2"/>
  <c r="R13" i="2"/>
  <c r="N13" i="2"/>
  <c r="P13" i="2" s="1"/>
  <c r="Q13" i="2" s="1"/>
  <c r="L13" i="2"/>
  <c r="V12" i="2"/>
  <c r="R12" i="2"/>
  <c r="L12" i="2"/>
  <c r="N12" i="2" s="1"/>
  <c r="P12" i="2" s="1"/>
  <c r="Q12" i="2" s="1"/>
  <c r="V11" i="2"/>
  <c r="R11" i="2"/>
  <c r="L11" i="2"/>
  <c r="N11" i="2" s="1"/>
  <c r="P11" i="2" s="1"/>
  <c r="Q11" i="2" s="1"/>
  <c r="V10" i="2"/>
  <c r="R10" i="2"/>
  <c r="L10" i="2"/>
  <c r="N10" i="2" s="1"/>
  <c r="P10" i="2" s="1"/>
  <c r="Q10" i="2" s="1"/>
  <c r="M15" i="2"/>
  <c r="M16" i="2" s="1"/>
  <c r="J15" i="2"/>
  <c r="J16" i="2" s="1"/>
  <c r="J22" i="2" s="1"/>
  <c r="J23" i="2" s="1"/>
  <c r="J27" i="2" s="1"/>
  <c r="J29" i="2" s="1"/>
  <c r="J33" i="2" s="1"/>
  <c r="J36" i="2" s="1"/>
  <c r="J44" i="2" s="1"/>
  <c r="J49" i="2" s="1"/>
  <c r="O11" i="1"/>
  <c r="H11" i="1"/>
  <c r="G11" i="1"/>
  <c r="O10" i="1"/>
  <c r="J10" i="1"/>
  <c r="L10" i="1" s="1"/>
  <c r="M10" i="1" s="1"/>
  <c r="K11" i="1"/>
  <c r="I11" i="1"/>
  <c r="P32" i="2" l="1"/>
  <c r="Q32" i="2" s="1"/>
  <c r="P40" i="2"/>
  <c r="Q40" i="2" s="1"/>
  <c r="J11" i="1"/>
  <c r="P47" i="2"/>
  <c r="Q47" i="2" s="1"/>
  <c r="P37" i="2"/>
  <c r="Q37" i="2" s="1"/>
  <c r="P48" i="2"/>
  <c r="Q48" i="2" s="1"/>
  <c r="M22" i="2"/>
  <c r="M23" i="2" s="1"/>
  <c r="M27" i="2" s="1"/>
  <c r="M29" i="2" s="1"/>
  <c r="M33" i="2" s="1"/>
  <c r="M36" i="2" s="1"/>
  <c r="M44" i="2" s="1"/>
  <c r="M49" i="2" s="1"/>
  <c r="P39" i="2"/>
  <c r="Q39" i="2" s="1"/>
  <c r="P43" i="2"/>
  <c r="Q43" i="2" s="1"/>
  <c r="L15" i="2"/>
  <c r="L16" i="2" s="1"/>
  <c r="L22" i="2" s="1"/>
  <c r="L23" i="2" s="1"/>
  <c r="L27" i="2" s="1"/>
  <c r="L29" i="2" s="1"/>
  <c r="P18" i="2"/>
  <c r="P34" i="2"/>
  <c r="Q34" i="2" s="1"/>
  <c r="P42" i="2"/>
  <c r="Q42" i="2" s="1"/>
  <c r="P45" i="2"/>
  <c r="Q45" i="2" s="1"/>
  <c r="P41" i="2"/>
  <c r="Q41" i="2" s="1"/>
  <c r="P35" i="2"/>
  <c r="Q35" i="2" s="1"/>
  <c r="P38" i="2"/>
  <c r="Q38" i="2" s="1"/>
  <c r="P46" i="2"/>
  <c r="Q46" i="2" s="1"/>
  <c r="K33" i="2"/>
  <c r="K36" i="2" s="1"/>
  <c r="K44" i="2" s="1"/>
  <c r="K49" i="2" s="1"/>
  <c r="N15" i="2"/>
  <c r="N16" i="2" s="1"/>
  <c r="N22" i="2" s="1"/>
  <c r="N23" i="2" s="1"/>
  <c r="N27" i="2" s="1"/>
  <c r="N29" i="2" s="1"/>
  <c r="N33" i="2" s="1"/>
  <c r="N36" i="2" s="1"/>
  <c r="N44" i="2" s="1"/>
  <c r="N49" i="2" s="1"/>
  <c r="O15" i="2"/>
  <c r="O16" i="2" s="1"/>
  <c r="O22" i="2" s="1"/>
  <c r="O23" i="2" s="1"/>
  <c r="O27" i="2" s="1"/>
  <c r="O29" i="2" s="1"/>
  <c r="O33" i="2" s="1"/>
  <c r="O36" i="2" s="1"/>
  <c r="O44" i="2" s="1"/>
  <c r="O49" i="2" s="1"/>
  <c r="I15" i="2"/>
  <c r="I16" i="2" s="1"/>
  <c r="I22" i="2" s="1"/>
  <c r="I23" i="2" s="1"/>
  <c r="I27" i="2" s="1"/>
  <c r="I29" i="2" s="1"/>
  <c r="I33" i="2" s="1"/>
  <c r="I36" i="2" s="1"/>
  <c r="I44" i="2" s="1"/>
  <c r="I49" i="2" s="1"/>
  <c r="Q18" i="2"/>
  <c r="Q31" i="2"/>
  <c r="L33" i="2"/>
  <c r="L36" i="2" s="1"/>
  <c r="L44" i="2" s="1"/>
  <c r="L49" i="2" s="1"/>
  <c r="L11" i="1" l="1"/>
  <c r="M11" i="1"/>
  <c r="P15" i="2" l="1"/>
  <c r="P16" i="2" s="1"/>
  <c r="P22" i="2" s="1"/>
  <c r="P23" i="2" s="1"/>
  <c r="P27" i="2" s="1"/>
  <c r="P29" i="2" s="1"/>
  <c r="P33" i="2" s="1"/>
  <c r="P36" i="2" s="1"/>
  <c r="P44" i="2" s="1"/>
  <c r="P49" i="2" s="1"/>
  <c r="Q15" i="2"/>
  <c r="Q16" i="2" s="1"/>
  <c r="Q22" i="2" s="1"/>
  <c r="Q23" i="2" s="1"/>
  <c r="Q27" i="2" s="1"/>
  <c r="Q29" i="2" s="1"/>
  <c r="Q33" i="2" s="1"/>
  <c r="Q36" i="2" s="1"/>
  <c r="Q44" i="2" s="1"/>
  <c r="Q4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www.intercambiosvirtuales.org</author>
    <author>Cartera</author>
    <author>Usuario</author>
    <author>ADMIN</author>
  </authors>
  <commentList>
    <comment ref="L11" authorId="0" shapeId="0" xr:uid="{3C0313CA-CC31-4FB0-A1F0-8A7E783CBA85}">
      <text>
        <r>
          <rPr>
            <b/>
            <sz val="8"/>
            <color indexed="81"/>
            <rFont val="Tahoma"/>
            <family val="2"/>
          </rPr>
          <t>EL ABONO $148207 HACE PÁRTE $3090166 ENE 4/12</t>
        </r>
      </text>
    </comment>
    <comment ref="L12" authorId="0" shapeId="0" xr:uid="{5A726E6D-7DBA-46FC-A923-C2B18549BE3A}">
      <text>
        <r>
          <rPr>
            <b/>
            <sz val="8"/>
            <color indexed="81"/>
            <rFont val="Tahoma"/>
            <family val="2"/>
          </rPr>
          <t xml:space="preserve">EL ABONO $72473 HACE PÁRTE $3090166 ENE 4/12 EL ABONO $69598 ES DE CONSGI.1339472 FEB 28/12
</t>
        </r>
      </text>
    </comment>
    <comment ref="L14" authorId="0" shapeId="0" xr:uid="{72418E94-B718-4029-B9B5-45899A478C0F}">
      <text>
        <r>
          <rPr>
            <b/>
            <sz val="8"/>
            <color indexed="81"/>
            <rFont val="Tahoma"/>
            <family val="2"/>
          </rPr>
          <t>EL ABONO $218077 HACE PÁRTE $3090166 ENE 4/12</t>
        </r>
      </text>
    </comment>
    <comment ref="O14" authorId="1" shapeId="0" xr:uid="{68AFD32E-E0A0-41C9-B3E5-BF4A6A1A7AB2}">
      <text>
        <r>
          <rPr>
            <sz val="9"/>
            <color indexed="81"/>
            <rFont val="Tahoma"/>
            <family val="2"/>
          </rPr>
          <t xml:space="preserve">glosa f.633733 $68043 s/of 533 junio 9/15 env 288-15
</t>
        </r>
      </text>
    </comment>
    <comment ref="M17" authorId="1" shapeId="0" xr:uid="{7201B3C9-959B-40B5-8D0F-EFC0694785FE}">
      <text>
        <r>
          <rPr>
            <b/>
            <sz val="9"/>
            <color indexed="81"/>
            <rFont val="Tahoma"/>
            <family val="2"/>
          </rPr>
          <t>GLOSA F.416738 $42000 S/OF 202541-13-17-158 MARZO 25/14 REL 124-14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8" authorId="1" shapeId="0" xr:uid="{881852A5-F50D-45D7-92E1-C0F129A1B031}">
      <text>
        <r>
          <rPr>
            <b/>
            <sz val="9"/>
            <color indexed="81"/>
            <rFont val="Tahoma"/>
            <family val="2"/>
          </rPr>
          <t>glosa aceptada s/mem 202541-13-07-247 nov 29/13 $131,970</t>
        </r>
        <r>
          <rPr>
            <sz val="9"/>
            <color indexed="81"/>
            <rFont val="Tahoma"/>
            <family val="2"/>
          </rPr>
          <t xml:space="preserve">
RECLASIFICACION GLOSA AL ENVIO 1500 $94800 ENERO 30/14</t>
        </r>
      </text>
    </comment>
    <comment ref="O18" authorId="1" shapeId="0" xr:uid="{2D5FC186-8266-449E-A73D-855DFC96CAC9}">
      <text>
        <r>
          <rPr>
            <b/>
            <sz val="9"/>
            <color indexed="81"/>
            <rFont val="Tahoma"/>
            <family val="2"/>
          </rPr>
          <t xml:space="preserve">glosa f.575126 $42590 f.576968 $52661 f.576973 $77897 f.539604 $22200 f.539605 $22200 f. 542976 $22200 s/mem 202541-13-07-1044 nov 12/14 rel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9" authorId="1" shapeId="0" xr:uid="{1E046259-0ACC-49BE-B53C-B78B7AB13CE0}">
      <text>
        <r>
          <rPr>
            <b/>
            <sz val="9"/>
            <color indexed="81"/>
            <rFont val="Tahoma"/>
            <family val="2"/>
          </rPr>
          <t>GLOSA $42000 S/OF 265 30 DIC/13 REL446-13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9" authorId="1" shapeId="0" xr:uid="{DCCE9D90-4779-446B-AA75-68203FEFB8A3}">
      <text>
        <r>
          <rPr>
            <b/>
            <sz val="9"/>
            <color indexed="81"/>
            <rFont val="Tahoma"/>
            <family val="2"/>
          </rPr>
          <t>Cartera:</t>
        </r>
        <r>
          <rPr>
            <sz val="9"/>
            <color indexed="81"/>
            <rFont val="Tahoma"/>
            <family val="2"/>
          </rPr>
          <t xml:space="preserve">
glosa s/of 916 nov 14/13 rel 446-13</t>
        </r>
      </text>
    </comment>
    <comment ref="O20" authorId="1" shapeId="0" xr:uid="{2EE076C3-35B9-4C61-88EE-AA2F9547FE83}">
      <text>
        <r>
          <rPr>
            <b/>
            <sz val="9"/>
            <color indexed="81"/>
            <rFont val="Tahoma"/>
            <family val="2"/>
          </rPr>
          <t>glosa $41400 orf 929 nov 19/13 rel 477-13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1" authorId="1" shapeId="0" xr:uid="{F786D8BD-0730-4AC0-B349-381B536F259D}">
      <text>
        <r>
          <rPr>
            <b/>
            <sz val="9"/>
            <color indexed="81"/>
            <rFont val="Tahoma"/>
            <family val="2"/>
          </rPr>
          <t>GLOSA ACEPTADA Y   APROBADA DE BAJAR  S/N ACTA No.002 DE MARZO 31/16  EN COMITÉ DE GLOSAS  S/MEM 242 DEL 16 AGOSTO 2016 $2500</t>
        </r>
        <r>
          <rPr>
            <sz val="9"/>
            <color indexed="81"/>
            <rFont val="Tahoma"/>
            <family val="2"/>
          </rPr>
          <t xml:space="preserve">
$43415
</t>
        </r>
      </text>
    </comment>
    <comment ref="O21" authorId="1" shapeId="0" xr:uid="{BB84E410-4EAD-4111-9C6D-0DFC6D1C7470}">
      <text>
        <r>
          <rPr>
            <b/>
            <sz val="9"/>
            <color indexed="81"/>
            <rFont val="Tahoma"/>
            <family val="2"/>
          </rPr>
          <t>glosa f.660239 $42300 f.666423 $59815 mem 771 spt 8/15 s/rel 357-15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4" authorId="1" shapeId="0" xr:uid="{1DA12D96-F59E-4C7D-9E5C-63D6F5AD29D0}">
      <text>
        <r>
          <rPr>
            <b/>
            <sz val="9"/>
            <color indexed="81"/>
            <rFont val="Tahoma"/>
            <family val="2"/>
          </rPr>
          <t>GLOSA ACEPTADA Y   APROBADA DE BAJAR  S/N ACTA No.002 DE MARZO 31/16  EN COMITÉ DE GLOSAS  S/MEM 242 DEL 16 AGOSTO 2016 $2500</t>
        </r>
        <r>
          <rPr>
            <sz val="9"/>
            <color indexed="81"/>
            <rFont val="Tahoma"/>
            <family val="2"/>
          </rPr>
          <t xml:space="preserve">
$14000
</t>
        </r>
      </text>
    </comment>
    <comment ref="O24" authorId="2" shapeId="0" xr:uid="{DF5E2B62-AAFB-4C85-A2E3-3D1E840E9C13}">
      <text>
        <r>
          <rPr>
            <b/>
            <sz val="9"/>
            <color indexed="81"/>
            <rFont val="Tahoma"/>
            <family val="2"/>
          </rPr>
          <t>glosa f.595819 $41575 f.599381 $42668 s/mem 202541-13-07-136 feb 24/15 rel 065-15</t>
        </r>
        <r>
          <rPr>
            <sz val="9"/>
            <color indexed="81"/>
            <rFont val="Tahoma"/>
            <family val="2"/>
          </rPr>
          <t xml:space="preserve">
glosa f.596306 $14400 mem 789 sept 14/15 s/rel 316/15
</t>
        </r>
      </text>
    </comment>
    <comment ref="M25" authorId="1" shapeId="0" xr:uid="{2406C84C-4B20-4AF5-ACE7-EE3829EDBA27}">
      <text>
        <r>
          <rPr>
            <b/>
            <sz val="9"/>
            <color indexed="81"/>
            <rFont val="Tahoma"/>
            <family val="2"/>
          </rPr>
          <t>DEVOLUCION  ACEPTADA Y   APROBADA DE BAJAR  S/N ACTA No.002 DE MARZO 31/16  EN COMITÉ DE GLOSAS  S/MEM 242 DEL 16 AGOSTO 2016 $2500</t>
        </r>
        <r>
          <rPr>
            <sz val="9"/>
            <color indexed="81"/>
            <rFont val="Tahoma"/>
            <family val="2"/>
          </rPr>
          <t xml:space="preserve">
$107974
</t>
        </r>
      </text>
    </comment>
    <comment ref="O25" authorId="2" shapeId="0" xr:uid="{D7807EFA-85CB-4198-8756-BD29B441FDD9}">
      <text>
        <r>
          <rPr>
            <b/>
            <sz val="9"/>
            <color indexed="81"/>
            <rFont val="Tahoma"/>
            <family val="2"/>
          </rPr>
          <t>glosa f.622310 $107974 f.626727 $45575 s/mem 1410 abril 24/15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6" authorId="1" shapeId="0" xr:uid="{F9E40910-F2AD-4FBC-B0CD-DD5602AEA470}">
      <text>
        <r>
          <rPr>
            <b/>
            <sz val="9"/>
            <color indexed="81"/>
            <rFont val="Tahoma"/>
            <family val="2"/>
          </rPr>
          <t>GLOSA ACEPTADA Y   APROBADA DE BAJAR  S/N ACTA No.002 DE MARZO 31/16  EN COMITÉ DE GLOSAS  S/MEM 242 DEL 16 AGOSTO 2016 $2500</t>
        </r>
        <r>
          <rPr>
            <sz val="9"/>
            <color indexed="81"/>
            <rFont val="Tahoma"/>
            <family val="2"/>
          </rPr>
          <t xml:space="preserve">
$43415 
</t>
        </r>
      </text>
    </comment>
    <comment ref="O26" authorId="1" shapeId="0" xr:uid="{E20225CD-0576-45C4-B9E5-5ADD808C612B}">
      <text>
        <r>
          <rPr>
            <b/>
            <sz val="9"/>
            <color indexed="81"/>
            <rFont val="Tahoma"/>
            <family val="2"/>
          </rPr>
          <t>glosa f.660239 $42300 f.666423 $59815 mem 771 spt 8/15 s/rel 357-15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8" authorId="3" shapeId="0" xr:uid="{1B1F145E-11CF-4F35-B24A-0A66BE57716C}">
      <text>
        <r>
          <rPr>
            <b/>
            <sz val="9"/>
            <color indexed="81"/>
            <rFont val="Tahoma"/>
            <family val="2"/>
          </rPr>
          <t xml:space="preserve">Glosa aceptada comité de glosas s/acta No.001 02/06/17 s/mem 092 06/09/17
</t>
        </r>
        <r>
          <rPr>
            <sz val="9"/>
            <color indexed="81"/>
            <rFont val="Tahoma"/>
            <family val="2"/>
          </rPr>
          <t xml:space="preserve">
GLOSA ACEPTADA S/MEM 152 30 NOV/17 s/ ACTA No.002 NOV 30/17 EN COMITE DE GLOSAS 
F.725356 $3900 F.711684 $3900 F.719421 $3900 F.725363 $7800</t>
        </r>
      </text>
    </comment>
    <comment ref="O28" authorId="1" shapeId="0" xr:uid="{93697363-E842-4873-8AD5-B8926365DE4E}">
      <text>
        <r>
          <rPr>
            <b/>
            <sz val="9"/>
            <color indexed="81"/>
            <rFont val="Tahoma"/>
            <family val="2"/>
          </rPr>
          <t>glosa f.705431 $68043 of 056 ene 25/17 rel 344-16</t>
        </r>
        <r>
          <rPr>
            <sz val="9"/>
            <color indexed="81"/>
            <rFont val="Tahoma"/>
            <family val="2"/>
          </rPr>
          <t xml:space="preserve">
glosa f.747890 $19891 of 063 ene 25/17 rel 344/16</t>
        </r>
      </text>
    </comment>
  </commentList>
</comments>
</file>

<file path=xl/sharedStrings.xml><?xml version="1.0" encoding="utf-8"?>
<sst xmlns="http://schemas.openxmlformats.org/spreadsheetml/2006/main" count="250" uniqueCount="137">
  <si>
    <t>HOSPITAL KENNEDY</t>
  </si>
  <si>
    <t>NIT 891900732-8  TEL 2268100-01</t>
  </si>
  <si>
    <t>COMFANALCO SUBSIDIADO</t>
  </si>
  <si>
    <t xml:space="preserve"> </t>
  </si>
  <si>
    <t>890303093-5</t>
  </si>
  <si>
    <t>FECHA</t>
  </si>
  <si>
    <t xml:space="preserve">FECHA </t>
  </si>
  <si>
    <t>DETALLE</t>
  </si>
  <si>
    <t>FACTURADO</t>
  </si>
  <si>
    <t>CANCELACIONES</t>
  </si>
  <si>
    <t>SALDOS POR COBRAR</t>
  </si>
  <si>
    <t>fecha factura</t>
  </si>
  <si>
    <t>fecha radicacion</t>
  </si>
  <si>
    <t>PAGO</t>
  </si>
  <si>
    <t xml:space="preserve"> No Factura</t>
  </si>
  <si>
    <t>Vr Factura</t>
  </si>
  <si>
    <t>HOSPITAL</t>
  </si>
  <si>
    <t>GLOSAS ACEPTADAS</t>
  </si>
  <si>
    <t>TOTAL</t>
  </si>
  <si>
    <t>NOTAS</t>
  </si>
  <si>
    <t>ABONO AGOSTO 2022 $291950</t>
  </si>
  <si>
    <t>ABONO MARZO-2022 $329.030</t>
  </si>
  <si>
    <t>EVENTO MES OCT/2022 RAD $167.530</t>
  </si>
  <si>
    <t>027-1340</t>
  </si>
  <si>
    <t>HOSPITAL KENNEDY "ESE" DE RIOFRIO VALLE DEL CAUCA</t>
  </si>
  <si>
    <t>COMFENALCO</t>
  </si>
  <si>
    <t>890.303.093-5</t>
  </si>
  <si>
    <t>MES CAPITADO</t>
  </si>
  <si>
    <t>ENTREGA</t>
  </si>
  <si>
    <t>RECIBIDO</t>
  </si>
  <si>
    <t>RADICADO</t>
  </si>
  <si>
    <t>RAD SION</t>
  </si>
  <si>
    <t>CTA COBRO</t>
  </si>
  <si>
    <t>Vs Factura</t>
  </si>
  <si>
    <t>MAYOR VR PAGO</t>
  </si>
  <si>
    <t>VR TOTAL FRA</t>
  </si>
  <si>
    <t>LEGALIZACION ABONO  QUE ESTABA EN SOS -ABRIL-2022 $1.935.345</t>
  </si>
  <si>
    <t>ABONO MES JUNIO 2022 $1.755.514</t>
  </si>
  <si>
    <t>ABONO AGOSTO 2022 $493676</t>
  </si>
  <si>
    <t xml:space="preserve">ABONO MARZO-2022 $329.030 </t>
  </si>
  <si>
    <t>FEB 01/11</t>
  </si>
  <si>
    <t>FEB 02/11</t>
  </si>
  <si>
    <t>MARZO 31/2020-LEGALIZACION ABONO $1.935.345 QUE LO TENIA SOS SE RECLASIFICA ABRIL-2022</t>
  </si>
  <si>
    <t>EVENTO ENE 1 AL 31 /11</t>
  </si>
  <si>
    <t>JULIO 05/11-(RECLASIFICACION ABONO E.828-869-870)-MARZO 31/2020-LEGALIZACION ABONO $1.935.345 QUE LO TENIA SOS SE RECLASIFICA ABRIL-2022</t>
  </si>
  <si>
    <t>JUNIO 02-11</t>
  </si>
  <si>
    <t>JUNIO 07-11</t>
  </si>
  <si>
    <t>EVENTO MES DE MAYO/11</t>
  </si>
  <si>
    <t>ENERO 4/12 (RECLASIFICO ABONO SEPT 22/11 EN ENERO 30/14)-RECLAS.ABONO AGOSTO 23/11 EN ENERO 31/149 -MARZO 31/2020</t>
  </si>
  <si>
    <t>JULIO05/11</t>
  </si>
  <si>
    <t>JULIO07/11</t>
  </si>
  <si>
    <t>EVENTO MES DE JUNIO/11</t>
  </si>
  <si>
    <t>ENERO 4-FEB 28-MARZO 27/12(RECLASIFICO ABONO SEPT 22/11 EN ENERO 30/14) MARZO 31/2020-LEGALIZACION ABONO $1.935.345 QUE LO TENIA SOS SE RECLASIFICA ABRIL-2022</t>
  </si>
  <si>
    <t>AGOS 01/11</t>
  </si>
  <si>
    <t>AGOSTO 05/11</t>
  </si>
  <si>
    <t>EVENTO MES DE JULIO/11</t>
  </si>
  <si>
    <t>ENERO 4-MARZO 27/12-LEGALIZACION ABONO $1.935.345 QUE LO TENIA SOS SE RECLASIFICA ABRIL-2022</t>
  </si>
  <si>
    <t>MAYO 2/13</t>
  </si>
  <si>
    <t>MAYO 8/13</t>
  </si>
  <si>
    <t>EVENTO MES DE ABRIL /13</t>
  </si>
  <si>
    <t>JULIO 2-11/13</t>
  </si>
  <si>
    <t>AGOSTO 1/13</t>
  </si>
  <si>
    <t>AGOSTO 16/13</t>
  </si>
  <si>
    <t>EVENTO MES DE JULIO /13</t>
  </si>
  <si>
    <t>OCT 1-DIC 5/13  MARZO 31/2020</t>
  </si>
  <si>
    <t>OCT 1/13</t>
  </si>
  <si>
    <t>SEPT 2/13</t>
  </si>
  <si>
    <t>SEPT 9/13</t>
  </si>
  <si>
    <t>EVENTO MES DE AGOSTO /13</t>
  </si>
  <si>
    <t>OCT 29/13  MARZO 31/2020</t>
  </si>
  <si>
    <t>OCT 3/13</t>
  </si>
  <si>
    <t>EVENTO MES DE SEPT /13</t>
  </si>
  <si>
    <t>DIC 5/13</t>
  </si>
  <si>
    <t>FACTURA ENVIADA EN FISICO PERO NO SE RELACIONO EN CUENTA DE COBRO (FRA 723165 $112.988)</t>
  </si>
  <si>
    <t>ABRIL 28/17</t>
  </si>
  <si>
    <t>NOV 5/14</t>
  </si>
  <si>
    <t>ENERO 20/15</t>
  </si>
  <si>
    <t>EVENTO MES OCTUBRE  2014</t>
  </si>
  <si>
    <t>ABRIL 28/15 (RECLAS.ABONO ENERO 27/16 EN MARZO 17/16)  MARZO 31/2020</t>
  </si>
  <si>
    <t>FEB 19/15</t>
  </si>
  <si>
    <t>FEB 5/14</t>
  </si>
  <si>
    <t>EVENTO MES ENERO-15</t>
  </si>
  <si>
    <t>JUNIO 23/15</t>
  </si>
  <si>
    <t>JUNIO 4/15</t>
  </si>
  <si>
    <t>JUNIO 9/15</t>
  </si>
  <si>
    <t>EVENTO MES MAYO -15</t>
  </si>
  <si>
    <t>OCT 23/15 (recalsi.abono eneo 28/16 en marzo 17/16) (RECLAS.ABONO ENERO 27/16 EN MARZO 17/16)(RECLAS.ABONO OCT 18/16 EN FEB 28/18) PENDIENTE NOTA POR RECUPERACION DE GLOSAS ACEPTDA</t>
  </si>
  <si>
    <t>JULIO 8/16</t>
  </si>
  <si>
    <t>OCT 14/16</t>
  </si>
  <si>
    <t>EVENTO MES ENERO-JUNIO/16</t>
  </si>
  <si>
    <t>DIC 21-22-29/16 (RECLAS.ABONO JULIO 6/17 EN FEB 28/18)-JUNIO 26/18</t>
  </si>
  <si>
    <t>JULIO 4/17</t>
  </si>
  <si>
    <t>JULIO 10/17</t>
  </si>
  <si>
    <t>EVENTO MES JUNIO/17</t>
  </si>
  <si>
    <t>FACTURA ENVIADA EN FISICO PERO NO SE RELACIONO EN CUENTA DE COBRO (FRA 705431 $68043 F.711684 $3900 F.719421 $3900 F.725356 $3900 F.725363 $7800 F.781547 $4100)</t>
  </si>
  <si>
    <t>JUNIO 29/17</t>
  </si>
  <si>
    <t>(RECLASF.ABONO SEPT 29/17 EN FEB 28/18)</t>
  </si>
  <si>
    <t>AGOSTO 31/2020</t>
  </si>
  <si>
    <t>SEPT 23/2020</t>
  </si>
  <si>
    <t>EVENTO MES AGOSTO/2020</t>
  </si>
  <si>
    <t>ABONO JUNIO 24/2022</t>
  </si>
  <si>
    <t>EVENTO 2021</t>
  </si>
  <si>
    <t>027-732</t>
  </si>
  <si>
    <t>027-761</t>
  </si>
  <si>
    <t>EVENTO MAYO 2021 RAD $73000</t>
  </si>
  <si>
    <t>027-1031</t>
  </si>
  <si>
    <t>EVENTO MES JUNIO-2022 RAD $213,230</t>
  </si>
  <si>
    <t>027-1135</t>
  </si>
  <si>
    <t>EVENTO MES SEPT-2022 RAD $404.820</t>
  </si>
  <si>
    <t>027-1302</t>
  </si>
  <si>
    <t>EVENTO MES OCTUBRE/2022 RAD $</t>
  </si>
  <si>
    <t>027-1475</t>
  </si>
  <si>
    <t>EVENTO MES DIC/2022 RAD $140.820</t>
  </si>
  <si>
    <t>027-1476</t>
  </si>
  <si>
    <t>EVENTO MES ENERO/2023 RAD $228.770</t>
  </si>
  <si>
    <t>027-1506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</si>
  <si>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</si>
  <si>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</si>
  <si>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</si>
  <si>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</si>
  <si>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</si>
  <si>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</si>
  <si>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</si>
  <si>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</si>
  <si>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</si>
  <si>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</si>
  <si>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</si>
  <si>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</si>
  <si>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</si>
  <si>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891900732-8</t>
  </si>
  <si>
    <t>HOSPITAL KENENDY ESE</t>
  </si>
  <si>
    <t>FV</t>
  </si>
  <si>
    <t>EVENTO</t>
  </si>
  <si>
    <t>Riofrio</t>
  </si>
  <si>
    <t>URGENCIAS</t>
  </si>
  <si>
    <t>HK</t>
  </si>
  <si>
    <t>RELACION CUENTA COMFENALCO CORTE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</si>
</sst>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8"/>
      <color indexed="10"/>
      <name val="Arial"/>
      <family val="2"/>
    </font>
    <font>
      <sz val="8"/>
      <color indexed="30"/>
      <name val="Arial"/>
      <family val="2"/>
    </font>
    <font>
      <b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4" fillId="0" borderId="0"/>
    <xf numFmtId="41" fontId="14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3" applyFont="1" applyAlignment="1">
      <alignment horizontal="left"/>
    </xf>
    <xf numFmtId="0" fontId="4" fillId="0" borderId="0" xfId="3" applyFont="1"/>
    <xf numFmtId="0" fontId="5" fillId="0" borderId="0" xfId="3" applyFont="1"/>
    <xf numFmtId="0" fontId="5" fillId="0" borderId="0" xfId="3" applyFont="1" applyAlignment="1">
      <alignment wrapText="1"/>
    </xf>
    <xf numFmtId="0" fontId="5" fillId="0" borderId="0" xfId="3" applyFont="1" applyAlignment="1">
      <alignment horizontal="right"/>
    </xf>
    <xf numFmtId="164" fontId="5" fillId="0" borderId="0" xfId="2" applyFont="1" applyFill="1"/>
    <xf numFmtId="164" fontId="5" fillId="0" borderId="0" xfId="2" applyFont="1" applyFill="1" applyAlignment="1">
      <alignment horizontal="center"/>
    </xf>
    <xf numFmtId="0" fontId="4" fillId="0" borderId="0" xfId="3" applyFont="1" applyAlignment="1">
      <alignment wrapText="1"/>
    </xf>
    <xf numFmtId="164" fontId="4" fillId="0" borderId="0" xfId="2" applyFont="1" applyFill="1"/>
    <xf numFmtId="0" fontId="4" fillId="0" borderId="1" xfId="3" applyFont="1" applyBorder="1" applyAlignment="1">
      <alignment horizontal="left"/>
    </xf>
    <xf numFmtId="0" fontId="4" fillId="0" borderId="2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4" fillId="0" borderId="2" xfId="3" applyFont="1" applyBorder="1" applyAlignment="1">
      <alignment horizontal="center" wrapText="1"/>
    </xf>
    <xf numFmtId="0" fontId="4" fillId="0" borderId="1" xfId="3" applyFont="1" applyBorder="1" applyAlignment="1">
      <alignment horizontal="center" wrapText="1"/>
    </xf>
    <xf numFmtId="0" fontId="4" fillId="0" borderId="4" xfId="3" applyFont="1" applyBorder="1" applyAlignment="1">
      <alignment horizontal="center"/>
    </xf>
    <xf numFmtId="164" fontId="4" fillId="0" borderId="7" xfId="2" applyFont="1" applyFill="1" applyBorder="1" applyAlignment="1">
      <alignment horizontal="center"/>
    </xf>
    <xf numFmtId="0" fontId="4" fillId="0" borderId="8" xfId="3" applyFont="1" applyBorder="1" applyAlignment="1">
      <alignment horizontal="left"/>
    </xf>
    <xf numFmtId="0" fontId="4" fillId="0" borderId="9" xfId="3" applyFont="1" applyBorder="1" applyAlignment="1">
      <alignment horizontal="center"/>
    </xf>
    <xf numFmtId="0" fontId="4" fillId="0" borderId="10" xfId="3" applyFont="1" applyBorder="1" applyAlignment="1">
      <alignment horizontal="center"/>
    </xf>
    <xf numFmtId="0" fontId="4" fillId="0" borderId="9" xfId="3" applyFont="1" applyBorder="1" applyAlignment="1">
      <alignment horizontal="center" wrapText="1"/>
    </xf>
    <xf numFmtId="0" fontId="4" fillId="0" borderId="8" xfId="3" applyFont="1" applyBorder="1" applyAlignment="1">
      <alignment horizontal="center" wrapText="1"/>
    </xf>
    <xf numFmtId="164" fontId="4" fillId="0" borderId="11" xfId="2" applyFont="1" applyFill="1" applyBorder="1" applyAlignment="1">
      <alignment horizontal="center"/>
    </xf>
    <xf numFmtId="164" fontId="4" fillId="0" borderId="11" xfId="2" applyFont="1" applyFill="1" applyBorder="1" applyAlignment="1">
      <alignment horizontal="center" wrapText="1"/>
    </xf>
    <xf numFmtId="164" fontId="4" fillId="0" borderId="4" xfId="2" applyFont="1" applyFill="1" applyBorder="1" applyAlignment="1">
      <alignment horizontal="center"/>
    </xf>
    <xf numFmtId="164" fontId="4" fillId="0" borderId="12" xfId="2" applyFont="1" applyFill="1" applyBorder="1" applyAlignment="1">
      <alignment horizontal="center"/>
    </xf>
    <xf numFmtId="166" fontId="4" fillId="0" borderId="11" xfId="1" applyNumberFormat="1" applyFont="1" applyBorder="1" applyAlignment="1">
      <alignment horizontal="right" wrapText="1"/>
    </xf>
    <xf numFmtId="0" fontId="5" fillId="0" borderId="13" xfId="3" applyFont="1" applyBorder="1"/>
    <xf numFmtId="0" fontId="5" fillId="0" borderId="13" xfId="3" applyFont="1" applyBorder="1" applyAlignment="1">
      <alignment wrapText="1"/>
    </xf>
    <xf numFmtId="164" fontId="5" fillId="0" borderId="13" xfId="2" applyFont="1" applyFill="1" applyBorder="1"/>
    <xf numFmtId="164" fontId="5" fillId="0" borderId="14" xfId="2" applyFont="1" applyFill="1" applyBorder="1"/>
    <xf numFmtId="0" fontId="4" fillId="0" borderId="13" xfId="3" applyFont="1" applyBorder="1"/>
    <xf numFmtId="164" fontId="4" fillId="0" borderId="13" xfId="2" applyFont="1" applyBorder="1"/>
    <xf numFmtId="164" fontId="4" fillId="0" borderId="13" xfId="2" applyFont="1" applyFill="1" applyBorder="1"/>
    <xf numFmtId="14" fontId="5" fillId="0" borderId="13" xfId="3" applyNumberFormat="1" applyFont="1" applyBorder="1" applyAlignment="1">
      <alignment horizontal="left"/>
    </xf>
    <xf numFmtId="164" fontId="5" fillId="0" borderId="0" xfId="3" applyNumberFormat="1" applyFont="1"/>
    <xf numFmtId="14" fontId="6" fillId="0" borderId="13" xfId="3" applyNumberFormat="1" applyFont="1" applyBorder="1" applyAlignment="1">
      <alignment horizontal="left"/>
    </xf>
    <xf numFmtId="0" fontId="6" fillId="0" borderId="13" xfId="3" applyFont="1" applyBorder="1"/>
    <xf numFmtId="166" fontId="6" fillId="0" borderId="13" xfId="1" applyNumberFormat="1" applyFont="1" applyFill="1" applyBorder="1" applyAlignment="1" applyProtection="1"/>
    <xf numFmtId="164" fontId="5" fillId="0" borderId="0" xfId="2" applyFont="1" applyFill="1" applyBorder="1" applyAlignment="1">
      <alignment horizontal="center"/>
    </xf>
    <xf numFmtId="166" fontId="5" fillId="0" borderId="0" xfId="1" applyNumberFormat="1" applyFont="1"/>
    <xf numFmtId="14" fontId="4" fillId="0" borderId="13" xfId="3" applyNumberFormat="1" applyFont="1" applyBorder="1" applyAlignment="1">
      <alignment horizontal="left"/>
    </xf>
    <xf numFmtId="0" fontId="4" fillId="0" borderId="13" xfId="3" applyFont="1" applyBorder="1" applyAlignment="1">
      <alignment wrapText="1"/>
    </xf>
    <xf numFmtId="164" fontId="4" fillId="0" borderId="13" xfId="2" applyFont="1" applyFill="1" applyBorder="1" applyAlignment="1">
      <alignment horizontal="right"/>
    </xf>
    <xf numFmtId="164" fontId="4" fillId="0" borderId="0" xfId="2" applyFont="1" applyFill="1" applyBorder="1" applyAlignment="1">
      <alignment horizontal="right"/>
    </xf>
    <xf numFmtId="14" fontId="5" fillId="0" borderId="13" xfId="2" applyNumberFormat="1" applyFont="1" applyBorder="1"/>
    <xf numFmtId="14" fontId="5" fillId="0" borderId="13" xfId="3" applyNumberFormat="1" applyFont="1" applyBorder="1"/>
    <xf numFmtId="164" fontId="5" fillId="0" borderId="13" xfId="2" applyFont="1" applyBorder="1"/>
    <xf numFmtId="0" fontId="5" fillId="0" borderId="0" xfId="3" applyFont="1" applyAlignment="1">
      <alignment horizontal="left"/>
    </xf>
    <xf numFmtId="164" fontId="5" fillId="0" borderId="0" xfId="2" applyFont="1"/>
    <xf numFmtId="14" fontId="4" fillId="0" borderId="0" xfId="3" applyNumberFormat="1" applyFont="1" applyAlignment="1">
      <alignment horizontal="right"/>
    </xf>
    <xf numFmtId="14" fontId="4" fillId="0" borderId="0" xfId="3" applyNumberFormat="1" applyFont="1" applyAlignment="1">
      <alignment horizontal="left"/>
    </xf>
    <xf numFmtId="166" fontId="5" fillId="0" borderId="0" xfId="1" applyNumberFormat="1" applyFont="1" applyFill="1"/>
    <xf numFmtId="166" fontId="5" fillId="0" borderId="0" xfId="1" applyNumberFormat="1" applyFont="1" applyAlignment="1">
      <alignment horizontal="right"/>
    </xf>
    <xf numFmtId="166" fontId="4" fillId="0" borderId="0" xfId="1" applyNumberFormat="1" applyFont="1" applyFill="1"/>
    <xf numFmtId="166" fontId="4" fillId="0" borderId="0" xfId="1" applyNumberFormat="1" applyFont="1"/>
    <xf numFmtId="164" fontId="4" fillId="0" borderId="0" xfId="2" applyFont="1"/>
    <xf numFmtId="14" fontId="4" fillId="0" borderId="1" xfId="3" applyNumberFormat="1" applyFont="1" applyBorder="1" applyAlignment="1">
      <alignment horizontal="right"/>
    </xf>
    <xf numFmtId="14" fontId="4" fillId="0" borderId="2" xfId="3" applyNumberFormat="1" applyFont="1" applyBorder="1" applyAlignment="1">
      <alignment horizontal="left"/>
    </xf>
    <xf numFmtId="0" fontId="4" fillId="0" borderId="12" xfId="3" applyFont="1" applyBorder="1" applyAlignment="1">
      <alignment horizontal="center" wrapText="1"/>
    </xf>
    <xf numFmtId="0" fontId="4" fillId="0" borderId="3" xfId="3" applyFont="1" applyBorder="1" applyAlignment="1">
      <alignment horizontal="center" wrapText="1"/>
    </xf>
    <xf numFmtId="164" fontId="4" fillId="0" borderId="4" xfId="2" applyFont="1" applyBorder="1" applyAlignment="1">
      <alignment horizontal="center"/>
    </xf>
    <xf numFmtId="164" fontId="4" fillId="0" borderId="7" xfId="2" applyFont="1" applyBorder="1" applyAlignment="1">
      <alignment horizontal="center"/>
    </xf>
    <xf numFmtId="164" fontId="4" fillId="0" borderId="15" xfId="2" applyFont="1" applyBorder="1" applyAlignment="1">
      <alignment horizontal="center"/>
    </xf>
    <xf numFmtId="14" fontId="4" fillId="0" borderId="8" xfId="3" applyNumberFormat="1" applyFont="1" applyBorder="1" applyAlignment="1">
      <alignment horizontal="right"/>
    </xf>
    <xf numFmtId="14" fontId="4" fillId="0" borderId="9" xfId="3" applyNumberFormat="1" applyFont="1" applyBorder="1" applyAlignment="1">
      <alignment horizontal="left"/>
    </xf>
    <xf numFmtId="0" fontId="4" fillId="0" borderId="9" xfId="3" applyFont="1" applyBorder="1"/>
    <xf numFmtId="0" fontId="4" fillId="0" borderId="16" xfId="3" applyFont="1" applyBorder="1" applyAlignment="1">
      <alignment horizontal="center" wrapText="1"/>
    </xf>
    <xf numFmtId="0" fontId="4" fillId="0" borderId="10" xfId="3" applyFont="1" applyBorder="1" applyAlignment="1">
      <alignment horizontal="center" wrapText="1"/>
    </xf>
    <xf numFmtId="166" fontId="4" fillId="0" borderId="11" xfId="1" applyNumberFormat="1" applyFont="1" applyFill="1" applyBorder="1" applyAlignment="1">
      <alignment horizontal="center"/>
    </xf>
    <xf numFmtId="166" fontId="4" fillId="0" borderId="11" xfId="1" applyNumberFormat="1" applyFont="1" applyBorder="1" applyAlignment="1">
      <alignment horizontal="center" wrapText="1"/>
    </xf>
    <xf numFmtId="164" fontId="4" fillId="0" borderId="15" xfId="2" applyFont="1" applyFill="1" applyBorder="1" applyAlignment="1">
      <alignment horizontal="center" wrapText="1"/>
    </xf>
    <xf numFmtId="164" fontId="4" fillId="0" borderId="11" xfId="2" applyFont="1" applyBorder="1" applyAlignment="1">
      <alignment horizontal="center"/>
    </xf>
    <xf numFmtId="164" fontId="4" fillId="0" borderId="15" xfId="2" applyFont="1" applyFill="1" applyBorder="1" applyAlignment="1">
      <alignment horizontal="center"/>
    </xf>
    <xf numFmtId="164" fontId="4" fillId="0" borderId="0" xfId="2" applyFont="1" applyAlignment="1">
      <alignment wrapText="1"/>
    </xf>
    <xf numFmtId="14" fontId="5" fillId="0" borderId="13" xfId="3" applyNumberFormat="1" applyFont="1" applyBorder="1" applyAlignment="1">
      <alignment horizontal="right"/>
    </xf>
    <xf numFmtId="166" fontId="5" fillId="0" borderId="13" xfId="1" applyNumberFormat="1" applyFont="1" applyFill="1" applyBorder="1"/>
    <xf numFmtId="164" fontId="5" fillId="0" borderId="13" xfId="2" applyFont="1" applyFill="1" applyBorder="1" applyAlignment="1">
      <alignment horizontal="center"/>
    </xf>
    <xf numFmtId="14" fontId="4" fillId="0" borderId="13" xfId="3" applyNumberFormat="1" applyFont="1" applyBorder="1" applyAlignment="1">
      <alignment horizontal="right"/>
    </xf>
    <xf numFmtId="166" fontId="4" fillId="0" borderId="13" xfId="1" applyNumberFormat="1" applyFont="1" applyFill="1" applyBorder="1"/>
    <xf numFmtId="17" fontId="5" fillId="0" borderId="13" xfId="3" applyNumberFormat="1" applyFont="1" applyBorder="1" applyAlignment="1">
      <alignment horizontal="left" wrapText="1"/>
    </xf>
    <xf numFmtId="164" fontId="8" fillId="0" borderId="13" xfId="2" applyFont="1" applyFill="1" applyBorder="1" applyAlignment="1">
      <alignment horizontal="center"/>
    </xf>
    <xf numFmtId="14" fontId="5" fillId="0" borderId="13" xfId="3" applyNumberFormat="1" applyFont="1" applyBorder="1" applyAlignment="1">
      <alignment horizontal="left" wrapText="1"/>
    </xf>
    <xf numFmtId="166" fontId="5" fillId="0" borderId="13" xfId="1" applyNumberFormat="1" applyFont="1" applyBorder="1"/>
    <xf numFmtId="164" fontId="4" fillId="3" borderId="13" xfId="2" applyFont="1" applyFill="1" applyBorder="1"/>
    <xf numFmtId="0" fontId="5" fillId="0" borderId="13" xfId="3" applyFont="1" applyBorder="1" applyAlignment="1">
      <alignment horizontal="center" wrapText="1"/>
    </xf>
    <xf numFmtId="14" fontId="9" fillId="0" borderId="13" xfId="3" applyNumberFormat="1" applyFont="1" applyBorder="1" applyAlignment="1">
      <alignment horizontal="right"/>
    </xf>
    <xf numFmtId="14" fontId="9" fillId="0" borderId="13" xfId="3" applyNumberFormat="1" applyFont="1" applyBorder="1" applyAlignment="1">
      <alignment horizontal="left"/>
    </xf>
    <xf numFmtId="0" fontId="9" fillId="0" borderId="13" xfId="3" applyFont="1" applyBorder="1"/>
    <xf numFmtId="0" fontId="9" fillId="0" borderId="13" xfId="3" applyFont="1" applyBorder="1" applyAlignment="1">
      <alignment wrapText="1"/>
    </xf>
    <xf numFmtId="166" fontId="9" fillId="0" borderId="13" xfId="1" applyNumberFormat="1" applyFont="1" applyFill="1" applyBorder="1"/>
    <xf numFmtId="164" fontId="9" fillId="0" borderId="13" xfId="2" applyFont="1" applyFill="1" applyBorder="1"/>
    <xf numFmtId="164" fontId="9" fillId="0" borderId="13" xfId="2" applyFont="1" applyFill="1" applyBorder="1" applyAlignment="1">
      <alignment horizontal="center"/>
    </xf>
    <xf numFmtId="166" fontId="10" fillId="0" borderId="13" xfId="1" applyNumberFormat="1" applyFont="1" applyFill="1" applyBorder="1" applyAlignment="1" applyProtection="1"/>
    <xf numFmtId="14" fontId="8" fillId="3" borderId="13" xfId="3" applyNumberFormat="1" applyFont="1" applyFill="1" applyBorder="1" applyAlignment="1">
      <alignment horizontal="right"/>
    </xf>
    <xf numFmtId="14" fontId="8" fillId="3" borderId="13" xfId="3" applyNumberFormat="1" applyFont="1" applyFill="1" applyBorder="1" applyAlignment="1">
      <alignment horizontal="left"/>
    </xf>
    <xf numFmtId="0" fontId="8" fillId="3" borderId="13" xfId="3" applyFont="1" applyFill="1" applyBorder="1"/>
    <xf numFmtId="0" fontId="8" fillId="3" borderId="13" xfId="3" applyFont="1" applyFill="1" applyBorder="1" applyAlignment="1">
      <alignment wrapText="1"/>
    </xf>
    <xf numFmtId="164" fontId="8" fillId="3" borderId="13" xfId="2" applyFont="1" applyFill="1" applyBorder="1"/>
    <xf numFmtId="164" fontId="8" fillId="0" borderId="0" xfId="2" applyFont="1"/>
    <xf numFmtId="0" fontId="8" fillId="0" borderId="0" xfId="3" applyFont="1"/>
    <xf numFmtId="14" fontId="9" fillId="3" borderId="13" xfId="3" applyNumberFormat="1" applyFont="1" applyFill="1" applyBorder="1" applyAlignment="1">
      <alignment horizontal="right"/>
    </xf>
    <xf numFmtId="14" fontId="9" fillId="3" borderId="13" xfId="3" applyNumberFormat="1" applyFont="1" applyFill="1" applyBorder="1" applyAlignment="1">
      <alignment horizontal="left"/>
    </xf>
    <xf numFmtId="14" fontId="5" fillId="3" borderId="13" xfId="3" applyNumberFormat="1" applyFont="1" applyFill="1" applyBorder="1" applyAlignment="1">
      <alignment horizontal="left"/>
    </xf>
    <xf numFmtId="0" fontId="9" fillId="3" borderId="13" xfId="3" applyFont="1" applyFill="1" applyBorder="1"/>
    <xf numFmtId="0" fontId="9" fillId="3" borderId="13" xfId="3" applyFont="1" applyFill="1" applyBorder="1" applyAlignment="1">
      <alignment wrapText="1"/>
    </xf>
    <xf numFmtId="164" fontId="9" fillId="3" borderId="13" xfId="2" applyFont="1" applyFill="1" applyBorder="1"/>
    <xf numFmtId="166" fontId="4" fillId="4" borderId="13" xfId="1" applyNumberFormat="1" applyFont="1" applyFill="1" applyBorder="1"/>
    <xf numFmtId="14" fontId="6" fillId="0" borderId="13" xfId="3" applyNumberFormat="1" applyFont="1" applyBorder="1" applyAlignment="1">
      <alignment horizontal="right" vertical="center"/>
    </xf>
    <xf numFmtId="0" fontId="6" fillId="0" borderId="13" xfId="3" quotePrefix="1" applyFont="1" applyBorder="1" applyAlignment="1">
      <alignment horizontal="center" vertical="center"/>
    </xf>
    <xf numFmtId="3" fontId="6" fillId="0" borderId="13" xfId="3" quotePrefix="1" applyNumberFormat="1" applyFont="1" applyBorder="1" applyAlignment="1">
      <alignment horizontal="right" vertical="center"/>
    </xf>
    <xf numFmtId="0" fontId="5" fillId="0" borderId="13" xfId="3" applyFont="1" applyBorder="1" applyAlignment="1">
      <alignment horizontal="left"/>
    </xf>
    <xf numFmtId="0" fontId="6" fillId="0" borderId="13" xfId="3" quotePrefix="1" applyFont="1" applyBorder="1" applyAlignment="1">
      <alignment horizontal="center" vertical="center" wrapText="1"/>
    </xf>
    <xf numFmtId="14" fontId="6" fillId="0" borderId="13" xfId="3" applyNumberFormat="1" applyFont="1" applyBorder="1" applyAlignment="1">
      <alignment horizontal="right"/>
    </xf>
    <xf numFmtId="164" fontId="5" fillId="0" borderId="0" xfId="2" applyFont="1" applyBorder="1"/>
    <xf numFmtId="164" fontId="4" fillId="0" borderId="0" xfId="2" applyFont="1" applyBorder="1"/>
    <xf numFmtId="166" fontId="4" fillId="0" borderId="0" xfId="1" applyNumberFormat="1" applyFont="1" applyAlignment="1">
      <alignment horizontal="right"/>
    </xf>
    <xf numFmtId="14" fontId="5" fillId="0" borderId="0" xfId="1" applyNumberFormat="1" applyFont="1"/>
    <xf numFmtId="164" fontId="6" fillId="0" borderId="13" xfId="2" quotePrefix="1" applyFont="1" applyBorder="1" applyAlignment="1">
      <alignment horizontal="center" vertical="center"/>
    </xf>
    <xf numFmtId="14" fontId="5" fillId="0" borderId="0" xfId="2" applyNumberFormat="1" applyFont="1"/>
    <xf numFmtId="166" fontId="4" fillId="2" borderId="13" xfId="1" applyNumberFormat="1" applyFont="1" applyFill="1" applyBorder="1"/>
    <xf numFmtId="14" fontId="5" fillId="0" borderId="0" xfId="3" applyNumberFormat="1" applyFont="1" applyAlignment="1">
      <alignment horizontal="right"/>
    </xf>
    <xf numFmtId="14" fontId="5" fillId="0" borderId="0" xfId="3" applyNumberFormat="1" applyFont="1" applyAlignment="1">
      <alignment horizontal="left"/>
    </xf>
    <xf numFmtId="0" fontId="4" fillId="0" borderId="0" xfId="4" applyFont="1"/>
    <xf numFmtId="0" fontId="5" fillId="0" borderId="0" xfId="4" applyFont="1"/>
    <xf numFmtId="14" fontId="5" fillId="0" borderId="0" xfId="4" applyNumberFormat="1" applyFont="1" applyAlignment="1">
      <alignment horizontal="right"/>
    </xf>
    <xf numFmtId="14" fontId="5" fillId="0" borderId="0" xfId="4" applyNumberFormat="1" applyFont="1"/>
    <xf numFmtId="41" fontId="5" fillId="0" borderId="0" xfId="5" applyFont="1"/>
    <xf numFmtId="0" fontId="2" fillId="0" borderId="13" xfId="6" applyFont="1" applyBorder="1" applyAlignment="1">
      <alignment horizontal="center" vertical="center" wrapText="1"/>
    </xf>
    <xf numFmtId="0" fontId="2" fillId="0" borderId="13" xfId="6" applyFont="1" applyBorder="1" applyAlignment="1">
      <alignment vertical="center" wrapText="1"/>
    </xf>
    <xf numFmtId="0" fontId="2" fillId="0" borderId="13" xfId="6" applyFont="1" applyBorder="1" applyAlignment="1">
      <alignment horizontal="right" vertical="center" wrapText="1"/>
    </xf>
    <xf numFmtId="0" fontId="5" fillId="0" borderId="13" xfId="7" applyFont="1" applyBorder="1" applyAlignment="1">
      <alignment horizontal="left"/>
    </xf>
    <xf numFmtId="1" fontId="5" fillId="0" borderId="13" xfId="7" applyNumberFormat="1" applyFont="1" applyBorder="1" applyAlignment="1">
      <alignment horizontal="left" vertical="center"/>
    </xf>
    <xf numFmtId="0" fontId="5" fillId="0" borderId="13" xfId="4" applyFont="1" applyBorder="1"/>
    <xf numFmtId="0" fontId="5" fillId="0" borderId="13" xfId="7" applyFont="1" applyBorder="1"/>
    <xf numFmtId="14" fontId="5" fillId="0" borderId="13" xfId="4" applyNumberFormat="1" applyFont="1" applyBorder="1"/>
    <xf numFmtId="14" fontId="5" fillId="0" borderId="13" xfId="4" applyNumberFormat="1" applyFont="1" applyBorder="1" applyAlignment="1">
      <alignment horizontal="right"/>
    </xf>
    <xf numFmtId="41" fontId="5" fillId="0" borderId="13" xfId="5" applyFont="1" applyBorder="1"/>
    <xf numFmtId="1" fontId="5" fillId="0" borderId="13" xfId="7" applyNumberFormat="1" applyFont="1" applyBorder="1" applyAlignment="1">
      <alignment vertical="center"/>
    </xf>
    <xf numFmtId="14" fontId="5" fillId="0" borderId="13" xfId="7" applyNumberFormat="1" applyFont="1" applyBorder="1" applyAlignment="1">
      <alignment horizontal="right" vertical="center"/>
    </xf>
    <xf numFmtId="41" fontId="5" fillId="0" borderId="13" xfId="5" applyFont="1" applyFill="1" applyBorder="1"/>
    <xf numFmtId="0" fontId="5" fillId="0" borderId="13" xfId="8" applyFont="1" applyBorder="1"/>
    <xf numFmtId="0" fontId="5" fillId="0" borderId="13" xfId="4" quotePrefix="1" applyFont="1" applyBorder="1" applyAlignment="1">
      <alignment vertical="center"/>
    </xf>
    <xf numFmtId="0" fontId="6" fillId="0" borderId="13" xfId="8" quotePrefix="1" applyFont="1" applyBorder="1" applyAlignment="1">
      <alignment vertical="center"/>
    </xf>
    <xf numFmtId="0" fontId="6" fillId="0" borderId="13" xfId="8" applyFont="1" applyBorder="1"/>
    <xf numFmtId="0" fontId="7" fillId="0" borderId="13" xfId="3" quotePrefix="1" applyFont="1" applyBorder="1" applyAlignment="1">
      <alignment vertical="center"/>
    </xf>
    <xf numFmtId="14" fontId="5" fillId="0" borderId="13" xfId="9" applyNumberFormat="1" applyFont="1" applyBorder="1"/>
    <xf numFmtId="164" fontId="5" fillId="0" borderId="13" xfId="9" applyFont="1" applyBorder="1"/>
    <xf numFmtId="14" fontId="4" fillId="0" borderId="13" xfId="4" applyNumberFormat="1" applyFont="1" applyBorder="1" applyAlignment="1">
      <alignment horizontal="right"/>
    </xf>
    <xf numFmtId="41" fontId="4" fillId="0" borderId="13" xfId="5" applyFont="1" applyBorder="1"/>
    <xf numFmtId="41" fontId="4" fillId="0" borderId="0" xfId="5" applyFont="1"/>
    <xf numFmtId="1" fontId="5" fillId="0" borderId="0" xfId="3" applyNumberFormat="1" applyFont="1" applyAlignment="1">
      <alignment horizontal="right"/>
    </xf>
    <xf numFmtId="1" fontId="4" fillId="0" borderId="4" xfId="3" applyNumberFormat="1" applyFont="1" applyBorder="1" applyAlignment="1">
      <alignment horizontal="right"/>
    </xf>
    <xf numFmtId="1" fontId="5" fillId="0" borderId="13" xfId="1" applyNumberFormat="1" applyFont="1" applyFill="1" applyBorder="1" applyAlignment="1">
      <alignment horizontal="right"/>
    </xf>
    <xf numFmtId="1" fontId="4" fillId="0" borderId="13" xfId="1" applyNumberFormat="1" applyFont="1" applyFill="1" applyBorder="1" applyAlignment="1">
      <alignment horizontal="right"/>
    </xf>
    <xf numFmtId="1" fontId="5" fillId="0" borderId="13" xfId="3" applyNumberFormat="1" applyFont="1" applyBorder="1" applyAlignment="1">
      <alignment horizontal="right"/>
    </xf>
    <xf numFmtId="1" fontId="4" fillId="0" borderId="13" xfId="3" applyNumberFormat="1" applyFont="1" applyBorder="1" applyAlignment="1">
      <alignment horizontal="right"/>
    </xf>
    <xf numFmtId="1" fontId="5" fillId="0" borderId="13" xfId="3" applyNumberFormat="1" applyFont="1" applyBorder="1"/>
    <xf numFmtId="1" fontId="9" fillId="0" borderId="13" xfId="3" applyNumberFormat="1" applyFont="1" applyBorder="1"/>
    <xf numFmtId="1" fontId="4" fillId="0" borderId="13" xfId="3" applyNumberFormat="1" applyFont="1" applyBorder="1"/>
    <xf numFmtId="1" fontId="8" fillId="3" borderId="13" xfId="3" applyNumberFormat="1" applyFont="1" applyFill="1" applyBorder="1"/>
    <xf numFmtId="1" fontId="9" fillId="3" borderId="13" xfId="3" applyNumberFormat="1" applyFont="1" applyFill="1" applyBorder="1"/>
    <xf numFmtId="1" fontId="6" fillId="0" borderId="13" xfId="3" quotePrefix="1" applyNumberFormat="1" applyFont="1" applyBorder="1" applyAlignment="1">
      <alignment horizontal="right" vertical="center"/>
    </xf>
    <xf numFmtId="1" fontId="6" fillId="0" borderId="13" xfId="3" applyNumberFormat="1" applyFont="1" applyBorder="1"/>
    <xf numFmtId="1" fontId="7" fillId="0" borderId="13" xfId="3" quotePrefix="1" applyNumberFormat="1" applyFont="1" applyBorder="1" applyAlignment="1">
      <alignment horizontal="center" vertical="center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6" xfId="2" applyFont="1" applyFill="1" applyBorder="1" applyAlignment="1">
      <alignment horizontal="center"/>
    </xf>
    <xf numFmtId="164" fontId="4" fillId="0" borderId="7" xfId="2" applyFont="1" applyFill="1" applyBorder="1" applyAlignment="1">
      <alignment horizontal="center"/>
    </xf>
    <xf numFmtId="164" fontId="4" fillId="0" borderId="5" xfId="2" applyFont="1" applyFill="1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166" fontId="4" fillId="0" borderId="12" xfId="1" applyNumberFormat="1" applyFont="1" applyFill="1" applyBorder="1" applyAlignment="1">
      <alignment horizontal="center"/>
    </xf>
    <xf numFmtId="164" fontId="4" fillId="0" borderId="4" xfId="2" applyFont="1" applyBorder="1" applyAlignment="1">
      <alignment horizontal="center"/>
    </xf>
    <xf numFmtId="164" fontId="4" fillId="0" borderId="7" xfId="2" applyFont="1" applyBorder="1" applyAlignment="1">
      <alignment horizontal="center"/>
    </xf>
    <xf numFmtId="164" fontId="4" fillId="0" borderId="15" xfId="2" applyFont="1" applyBorder="1" applyAlignment="1">
      <alignment horizontal="center"/>
    </xf>
  </cellXfs>
  <cellStyles count="10">
    <cellStyle name="Millares" xfId="1" builtinId="3"/>
    <cellStyle name="Millares [0]" xfId="2" builtinId="6"/>
    <cellStyle name="Millares [0] 2" xfId="5" xr:uid="{CFDCE219-E13D-459F-8BE1-D849BA0E6521}"/>
    <cellStyle name="Millares [0] 3" xfId="9" xr:uid="{6B2A9E09-641B-4294-89FD-59E68F81BCDD}"/>
    <cellStyle name="Normal" xfId="0" builtinId="0"/>
    <cellStyle name="Normal 10" xfId="3" xr:uid="{7711895D-33E2-41E4-90DC-D7C736EAF6A1}"/>
    <cellStyle name="Normal 2" xfId="4" xr:uid="{A32EBF5A-4A26-491B-AA86-65259E5C4D13}"/>
    <cellStyle name="Normal 2 2" xfId="7" xr:uid="{3B68F3D9-A7A3-4973-A149-90480E75DC93}"/>
    <cellStyle name="Normal 5" xfId="8" xr:uid="{31940519-BC9A-425F-94C1-9C5C7828415B}"/>
    <cellStyle name="Normal 6" xfId="6" xr:uid="{51BEE008-B2E9-4910-8507-A054E26B995A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COPIA%20DE%20CARTERA%2020-10-2021/CARTERA%201/CARTERA/CARTERA/CARTERA%202023/CARTERA%20FEBRERO%202023/ESTRUCTURA%20ABONOS%20MARZO%202023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COPIA%20DE%20CARTERA%2020-10-2021/CARTERA%201/CONCILACIONES/CONCILIACION%20COMFENALCO/CONCILIACION%20COMFENALCO%20A%20MARZO%202022/ESTADO%20DE%20CARTERA%20HOSPITAL%20KENE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FACTURACION%20%20RADICADA%2031-01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GUROS LIBERTY"/>
      <sheetName val="COMFENALCO"/>
      <sheetName val="CIC LABORATORIOS"/>
      <sheetName val="SAVIA SALUD"/>
      <sheetName val="SANITAS"/>
      <sheetName val="SANITAS NOV 2022"/>
      <sheetName val="SANITAS DIC 2022"/>
      <sheetName val="LEGAL.ENER-2023"/>
      <sheetName val="SOS  SUBSIDIADO"/>
      <sheetName val=" SOS PAGADO BANCOLOMMBIA"/>
      <sheetName val="SALUD TOTAL"/>
      <sheetName val="REVISION ABONOS SOS BCOLOMBIA"/>
      <sheetName val="ASMET SALUD"/>
      <sheetName val="POSITIVA"/>
      <sheetName val="AXA COLPATRIA"/>
      <sheetName val="COSMITET"/>
      <sheetName val="MUNDIAL DE SEGUROS"/>
      <sheetName val="SUSALUD"/>
      <sheetName val="SEGUROS DEL ESTADO"/>
      <sheetName val="EMSSANAR CONTRIBUTIVO"/>
      <sheetName val="EMSSANAR SUBSIDIADO"/>
      <sheetName val="COOSALUD"/>
      <sheetName val="SECRETARIA POBLACION MIGRANTE"/>
      <sheetName val="CAFESALUD"/>
      <sheetName val="FAMISANAR"/>
      <sheetName val="SANIDAD VALLE "/>
      <sheetName val="COMPENSAR"/>
      <sheetName val="HDA NORMANDIA"/>
      <sheetName val="COLMENA ARL"/>
      <sheetName val="ABONO COOSALUD ENERO 2023"/>
      <sheetName val="SURA SOAT ARL"/>
      <sheetName val="LA PREVISORA"/>
      <sheetName val="COOMEVA"/>
      <sheetName val="NUEVA EPS"/>
    </sheetNames>
    <sheetDataSet>
      <sheetData sheetId="0"/>
      <sheetData sheetId="1">
        <row r="2">
          <cell r="B2">
            <v>1436156</v>
          </cell>
          <cell r="C2">
            <v>45007</v>
          </cell>
          <cell r="E2">
            <v>84040</v>
          </cell>
        </row>
        <row r="3">
          <cell r="B3">
            <v>1436198</v>
          </cell>
          <cell r="C3">
            <v>45007</v>
          </cell>
          <cell r="E3">
            <v>5100</v>
          </cell>
        </row>
        <row r="4">
          <cell r="B4">
            <v>1459825</v>
          </cell>
          <cell r="C4">
            <v>45007</v>
          </cell>
          <cell r="E4">
            <v>76340</v>
          </cell>
        </row>
        <row r="5">
          <cell r="B5">
            <v>1464319</v>
          </cell>
          <cell r="C5">
            <v>45007</v>
          </cell>
          <cell r="E5">
            <v>5100</v>
          </cell>
        </row>
        <row r="6">
          <cell r="B6">
            <v>1467565</v>
          </cell>
          <cell r="C6">
            <v>45007</v>
          </cell>
          <cell r="E6">
            <v>5100</v>
          </cell>
        </row>
        <row r="7">
          <cell r="B7">
            <v>1474793</v>
          </cell>
          <cell r="C7">
            <v>45007</v>
          </cell>
          <cell r="E7">
            <v>5100</v>
          </cell>
        </row>
        <row r="8">
          <cell r="B8">
            <v>1475959</v>
          </cell>
          <cell r="C8">
            <v>45007</v>
          </cell>
          <cell r="E8">
            <v>5100</v>
          </cell>
        </row>
        <row r="9">
          <cell r="B9">
            <v>1477513</v>
          </cell>
          <cell r="C9">
            <v>45007</v>
          </cell>
          <cell r="E9">
            <v>66550</v>
          </cell>
        </row>
        <row r="10">
          <cell r="B10">
            <v>1485290</v>
          </cell>
          <cell r="C10">
            <v>45007</v>
          </cell>
          <cell r="E10">
            <v>76600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D"/>
      <sheetName val="ESTADO DE CADA FACTURA"/>
      <sheetName val="FOR-CSA-018"/>
      <sheetName val="legalizacion abono  abril 2022"/>
      <sheetName val="revision REL CTA A FEB-2022"/>
      <sheetName val="REPORTE FRAS NO RADICADAS "/>
    </sheetNames>
    <sheetDataSet>
      <sheetData sheetId="0" refreshError="1"/>
      <sheetData sheetId="1" refreshError="1"/>
      <sheetData sheetId="2" refreshError="1"/>
      <sheetData sheetId="3">
        <row r="8">
          <cell r="B8">
            <v>756</v>
          </cell>
          <cell r="C8">
            <v>890303093</v>
          </cell>
          <cell r="D8" t="str">
            <v>COMFENALCO VALLE EPS</v>
          </cell>
          <cell r="E8">
            <v>522953</v>
          </cell>
        </row>
        <row r="9">
          <cell r="B9">
            <v>780</v>
          </cell>
          <cell r="C9">
            <v>890303093</v>
          </cell>
          <cell r="D9" t="str">
            <v>COMFENALCO VALLE EPS</v>
          </cell>
          <cell r="E9">
            <v>190179</v>
          </cell>
        </row>
        <row r="10">
          <cell r="B10">
            <v>781</v>
          </cell>
          <cell r="C10">
            <v>890303093</v>
          </cell>
          <cell r="D10" t="str">
            <v>COMFENALCO VALLE EPS</v>
          </cell>
          <cell r="E10">
            <v>929146</v>
          </cell>
        </row>
        <row r="11">
          <cell r="B11">
            <v>991</v>
          </cell>
          <cell r="C11">
            <v>890303093</v>
          </cell>
          <cell r="D11" t="str">
            <v>COMFENALCO VALLE EPS</v>
          </cell>
          <cell r="E11">
            <v>96370</v>
          </cell>
        </row>
        <row r="12">
          <cell r="B12">
            <v>982</v>
          </cell>
          <cell r="C12">
            <v>890303093</v>
          </cell>
          <cell r="D12" t="str">
            <v>COMFENALCO VALLE EPS</v>
          </cell>
          <cell r="E12">
            <v>12200</v>
          </cell>
        </row>
        <row r="13">
          <cell r="B13">
            <v>1021</v>
          </cell>
          <cell r="C13">
            <v>890303093</v>
          </cell>
          <cell r="D13" t="str">
            <v>COMFENALCO VALLE EPS</v>
          </cell>
          <cell r="E13">
            <v>85397</v>
          </cell>
        </row>
        <row r="14">
          <cell r="B14">
            <v>1251</v>
          </cell>
          <cell r="C14">
            <v>890303093</v>
          </cell>
          <cell r="D14" t="str">
            <v>COMFENALCO VALLE EPS</v>
          </cell>
          <cell r="E14">
            <v>30600</v>
          </cell>
        </row>
        <row r="15">
          <cell r="B15">
            <v>1423</v>
          </cell>
          <cell r="C15">
            <v>890303093</v>
          </cell>
          <cell r="D15" t="str">
            <v>COMFENALCO VALLE EPS</v>
          </cell>
          <cell r="E15">
            <v>12300</v>
          </cell>
        </row>
        <row r="16">
          <cell r="B16">
            <v>1813</v>
          </cell>
          <cell r="C16">
            <v>890303093</v>
          </cell>
          <cell r="D16" t="str">
            <v>COMFENALCO VALLE EPS</v>
          </cell>
          <cell r="E16">
            <v>7300</v>
          </cell>
        </row>
        <row r="17">
          <cell r="B17">
            <v>2024</v>
          </cell>
          <cell r="C17">
            <v>890303093</v>
          </cell>
          <cell r="D17" t="str">
            <v>COMFENALCO VALLE EPS</v>
          </cell>
          <cell r="E17">
            <v>2000</v>
          </cell>
        </row>
        <row r="18">
          <cell r="B18">
            <v>2125</v>
          </cell>
          <cell r="C18">
            <v>890303093</v>
          </cell>
          <cell r="D18" t="str">
            <v>COMFENALCO VALLE EPS</v>
          </cell>
          <cell r="E18">
            <v>17200</v>
          </cell>
        </row>
        <row r="19">
          <cell r="B19">
            <v>4324</v>
          </cell>
          <cell r="C19">
            <v>890303093</v>
          </cell>
          <cell r="D19" t="str">
            <v>COMFENALCO VALLE EPS</v>
          </cell>
          <cell r="E19">
            <v>4700</v>
          </cell>
        </row>
        <row r="20">
          <cell r="B20">
            <v>5687</v>
          </cell>
          <cell r="C20">
            <v>890303093</v>
          </cell>
          <cell r="D20" t="str">
            <v>COMFENALCO VALLE EPS</v>
          </cell>
          <cell r="E20">
            <v>25000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ppal"/>
      <sheetName val="Hoja2"/>
      <sheetName val="BASE TRABAJADA"/>
      <sheetName val="NUEVA"/>
      <sheetName val="Hoja1"/>
      <sheetName val="SOS CONTRIB"/>
      <sheetName val="SOS"/>
      <sheetName val="EMSSA CONTRIB"/>
      <sheetName val="EMSSANAR"/>
      <sheetName val="fra radicadas dic-21"/>
    </sheetNames>
    <sheetDataSet>
      <sheetData sheetId="0" refreshError="1"/>
      <sheetData sheetId="1" refreshError="1">
        <row r="145">
          <cell r="Q145">
            <v>23500</v>
          </cell>
        </row>
        <row r="4476">
          <cell r="Q4476">
            <v>70830</v>
          </cell>
          <cell r="Y4476">
            <v>44561</v>
          </cell>
        </row>
        <row r="4937">
          <cell r="Q4937">
            <v>71770</v>
          </cell>
          <cell r="Y4937">
            <v>44561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8556D-81B9-4AFE-9D55-1893840AECA4}">
  <sheetPr>
    <tabColor rgb="FF00B0F0"/>
  </sheetPr>
  <dimension ref="A1:P11"/>
  <sheetViews>
    <sheetView topLeftCell="C1" workbookViewId="0">
      <selection activeCell="T13" sqref="T13"/>
    </sheetView>
  </sheetViews>
  <sheetFormatPr baseColWidth="10" defaultRowHeight="11.25" x14ac:dyDescent="0.2"/>
  <cols>
    <col min="1" max="1" width="11.42578125" style="48"/>
    <col min="2" max="2" width="11.42578125" style="3"/>
    <col min="3" max="3" width="38" style="3" customWidth="1"/>
    <col min="4" max="4" width="16.42578125" style="3" customWidth="1"/>
    <col min="5" max="5" width="10.140625" style="3" customWidth="1"/>
    <col min="6" max="6" width="12.5703125" style="3" customWidth="1"/>
    <col min="7" max="7" width="12.5703125" style="49" customWidth="1"/>
    <col min="8" max="8" width="11" style="49" customWidth="1"/>
    <col min="9" max="9" width="12.5703125" style="49" customWidth="1"/>
    <col min="10" max="10" width="10" style="49" customWidth="1"/>
    <col min="11" max="11" width="10.28515625" style="49" customWidth="1"/>
    <col min="12" max="12" width="12.5703125" style="49" customWidth="1"/>
    <col min="13" max="13" width="11.42578125" style="49"/>
    <col min="14" max="14" width="0" style="3" hidden="1" customWidth="1"/>
    <col min="15" max="16384" width="11.42578125" style="3"/>
  </cols>
  <sheetData>
    <row r="1" spans="1:16" x14ac:dyDescent="0.2">
      <c r="A1" s="1" t="s">
        <v>0</v>
      </c>
      <c r="B1" s="2"/>
      <c r="D1" s="4"/>
      <c r="E1" s="4"/>
      <c r="F1" s="5"/>
      <c r="G1" s="6"/>
      <c r="H1" s="6"/>
      <c r="I1" s="6"/>
      <c r="J1" s="6"/>
      <c r="K1" s="6"/>
      <c r="L1" s="6"/>
      <c r="M1" s="7"/>
    </row>
    <row r="2" spans="1:16" x14ac:dyDescent="0.2">
      <c r="A2" s="1" t="s">
        <v>1</v>
      </c>
      <c r="B2" s="2"/>
      <c r="C2" s="2"/>
      <c r="D2" s="8"/>
      <c r="E2" s="8"/>
      <c r="F2" s="5"/>
      <c r="G2" s="9"/>
      <c r="H2" s="9"/>
      <c r="I2" s="6"/>
      <c r="J2" s="6"/>
      <c r="K2" s="6"/>
      <c r="L2" s="6"/>
      <c r="M2" s="7"/>
    </row>
    <row r="3" spans="1:16" x14ac:dyDescent="0.2">
      <c r="A3" s="1" t="s">
        <v>2</v>
      </c>
      <c r="B3" s="2"/>
      <c r="D3" s="4"/>
      <c r="E3" s="4"/>
      <c r="F3" s="5"/>
      <c r="G3" s="6" t="s">
        <v>3</v>
      </c>
      <c r="H3" s="6"/>
      <c r="I3" s="6"/>
      <c r="J3" s="6"/>
      <c r="K3" s="6"/>
      <c r="L3" s="6"/>
      <c r="M3" s="7"/>
    </row>
    <row r="4" spans="1:16" x14ac:dyDescent="0.2">
      <c r="A4" s="1" t="s">
        <v>4</v>
      </c>
      <c r="B4" s="2"/>
      <c r="D4" s="4"/>
      <c r="E4" s="4"/>
      <c r="F4" s="5"/>
      <c r="G4" s="6"/>
      <c r="H4" s="6"/>
      <c r="I4" s="6"/>
      <c r="J4" s="6"/>
      <c r="K4" s="6"/>
      <c r="L4" s="6"/>
      <c r="M4" s="7"/>
    </row>
    <row r="5" spans="1:16" x14ac:dyDescent="0.2">
      <c r="A5" s="1"/>
      <c r="B5" s="2"/>
      <c r="D5" s="4"/>
      <c r="E5" s="4"/>
      <c r="F5" s="5"/>
      <c r="G5" s="6"/>
      <c r="H5" s="6"/>
      <c r="I5" s="6"/>
      <c r="J5" s="6"/>
      <c r="K5" s="6"/>
      <c r="L5" s="6"/>
      <c r="M5" s="7"/>
    </row>
    <row r="6" spans="1:16" x14ac:dyDescent="0.2">
      <c r="A6" s="1">
        <v>1409200</v>
      </c>
      <c r="B6" s="2"/>
      <c r="D6" s="4"/>
      <c r="E6" s="4"/>
      <c r="F6" s="5"/>
      <c r="G6" s="6"/>
      <c r="H6" s="6"/>
      <c r="I6" s="6"/>
      <c r="J6" s="6"/>
      <c r="K6" s="6"/>
      <c r="L6" s="6"/>
      <c r="M6" s="7"/>
    </row>
    <row r="7" spans="1:16" ht="12" thickBot="1" x14ac:dyDescent="0.25">
      <c r="A7" s="1"/>
      <c r="B7" s="2"/>
      <c r="D7" s="4"/>
      <c r="E7" s="4"/>
      <c r="F7" s="5"/>
      <c r="G7" s="6"/>
      <c r="H7" s="6"/>
      <c r="I7" s="6"/>
      <c r="J7" s="6"/>
      <c r="K7" s="6"/>
      <c r="L7" s="6"/>
      <c r="M7" s="7"/>
    </row>
    <row r="8" spans="1:16" ht="12" thickBot="1" x14ac:dyDescent="0.25">
      <c r="A8" s="10" t="s">
        <v>5</v>
      </c>
      <c r="B8" s="11" t="s">
        <v>6</v>
      </c>
      <c r="C8" s="12" t="s">
        <v>7</v>
      </c>
      <c r="D8" s="13" t="s">
        <v>5</v>
      </c>
      <c r="E8" s="14"/>
      <c r="F8" s="165" t="s">
        <v>8</v>
      </c>
      <c r="G8" s="166"/>
      <c r="H8" s="167" t="s">
        <v>9</v>
      </c>
      <c r="I8" s="168"/>
      <c r="J8" s="169"/>
      <c r="K8" s="167" t="s">
        <v>10</v>
      </c>
      <c r="L8" s="168"/>
      <c r="M8" s="169"/>
      <c r="O8" s="3">
        <v>8</v>
      </c>
    </row>
    <row r="9" spans="1:16" ht="34.5" thickBot="1" x14ac:dyDescent="0.25">
      <c r="A9" s="17" t="s">
        <v>11</v>
      </c>
      <c r="B9" s="18" t="s">
        <v>12</v>
      </c>
      <c r="C9" s="19" t="s">
        <v>3</v>
      </c>
      <c r="D9" s="20" t="s">
        <v>13</v>
      </c>
      <c r="E9" s="21"/>
      <c r="F9" s="15" t="s">
        <v>14</v>
      </c>
      <c r="G9" s="22" t="s">
        <v>15</v>
      </c>
      <c r="H9" s="16" t="s">
        <v>16</v>
      </c>
      <c r="I9" s="23" t="s">
        <v>17</v>
      </c>
      <c r="J9" s="24" t="s">
        <v>18</v>
      </c>
      <c r="K9" s="22" t="s">
        <v>19</v>
      </c>
      <c r="L9" s="22" t="s">
        <v>16</v>
      </c>
      <c r="M9" s="25" t="s">
        <v>18</v>
      </c>
      <c r="N9" s="26" t="s">
        <v>20</v>
      </c>
      <c r="O9" s="4" t="s">
        <v>21</v>
      </c>
    </row>
    <row r="10" spans="1:16" x14ac:dyDescent="0.2">
      <c r="A10" s="36">
        <v>44850</v>
      </c>
      <c r="B10" s="34">
        <v>44915</v>
      </c>
      <c r="C10" s="27" t="s">
        <v>22</v>
      </c>
      <c r="D10" s="28"/>
      <c r="E10" s="28" t="s">
        <v>23</v>
      </c>
      <c r="F10" s="37">
        <v>1464624</v>
      </c>
      <c r="G10" s="38">
        <v>167530</v>
      </c>
      <c r="H10" s="29">
        <v>167530</v>
      </c>
      <c r="I10" s="29"/>
      <c r="J10" s="29">
        <f>SUM(H10:I10)</f>
        <v>167530</v>
      </c>
      <c r="K10" s="29">
        <v>0</v>
      </c>
      <c r="L10" s="30">
        <f>+G10-J10-K10</f>
        <v>0</v>
      </c>
      <c r="M10" s="29">
        <f>SUM(K10:L10)</f>
        <v>0</v>
      </c>
      <c r="N10" s="35">
        <v>0</v>
      </c>
      <c r="O10" s="3" t="e">
        <f>VLOOKUP(F10,[1]COMFENALCO!$B$2:$E$10,4,0)</f>
        <v>#N/A</v>
      </c>
      <c r="P10" s="40">
        <v>-167530</v>
      </c>
    </row>
    <row r="11" spans="1:16" s="2" customFormat="1" ht="15" customHeight="1" x14ac:dyDescent="0.2">
      <c r="A11" s="41"/>
      <c r="B11" s="41"/>
      <c r="C11" s="31" t="s">
        <v>18</v>
      </c>
      <c r="D11" s="42"/>
      <c r="E11" s="42"/>
      <c r="F11" s="42"/>
      <c r="G11" s="43">
        <f t="shared" ref="G11:M11" si="0">SUM(G10:G10)</f>
        <v>167530</v>
      </c>
      <c r="H11" s="43">
        <f t="shared" si="0"/>
        <v>167530</v>
      </c>
      <c r="I11" s="43">
        <f t="shared" si="0"/>
        <v>0</v>
      </c>
      <c r="J11" s="43">
        <f t="shared" si="0"/>
        <v>167530</v>
      </c>
      <c r="K11" s="43">
        <f t="shared" si="0"/>
        <v>0</v>
      </c>
      <c r="L11" s="43">
        <f t="shared" si="0"/>
        <v>0</v>
      </c>
      <c r="M11" s="43">
        <f t="shared" si="0"/>
        <v>0</v>
      </c>
      <c r="N11" s="44"/>
      <c r="O11" s="3" t="e">
        <f>VLOOKUP(F11,[1]COMFENALCO!$B$2:$E$10,4,0)</f>
        <v>#N/A</v>
      </c>
    </row>
  </sheetData>
  <mergeCells count="3">
    <mergeCell ref="F8:G8"/>
    <mergeCell ref="H8:J8"/>
    <mergeCell ref="K8:M8"/>
  </mergeCells>
  <conditionalFormatting sqref="F10">
    <cfRule type="duplicateValues" dxfId="21" priority="5" stopIfTrue="1"/>
    <cfRule type="duplicateValues" dxfId="20" priority="6" stopIfTrue="1"/>
    <cfRule type="duplicateValues" dxfId="19" priority="7" stopIfTrue="1"/>
    <cfRule type="duplicateValues" dxfId="18" priority="8" stopIfTrue="1"/>
  </conditionalFormatting>
  <pageMargins left="1.18" right="0.7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F777E-407D-4E87-9B6C-F41DB59E8A1A}">
  <sheetPr>
    <tabColor rgb="FF00B0F0"/>
  </sheetPr>
  <dimension ref="A1:W56"/>
  <sheetViews>
    <sheetView topLeftCell="G34" zoomScale="112" zoomScaleNormal="112" workbookViewId="0">
      <selection activeCell="Y43" sqref="Y43"/>
    </sheetView>
  </sheetViews>
  <sheetFormatPr baseColWidth="10" defaultRowHeight="11.25" x14ac:dyDescent="0.2"/>
  <cols>
    <col min="1" max="1" width="13.85546875" style="121" customWidth="1"/>
    <col min="2" max="3" width="15.42578125" style="122" customWidth="1"/>
    <col min="4" max="4" width="36.5703125" style="3" customWidth="1"/>
    <col min="5" max="5" width="47.140625" style="4" customWidth="1"/>
    <col min="6" max="6" width="13" style="4" customWidth="1"/>
    <col min="7" max="7" width="9.85546875" style="4" customWidth="1"/>
    <col min="8" max="8" width="9.5703125" style="151" customWidth="1"/>
    <col min="9" max="9" width="17.140625" style="52" customWidth="1"/>
    <col min="10" max="10" width="8.85546875" style="40" customWidth="1"/>
    <col min="11" max="11" width="13.7109375" style="6" customWidth="1"/>
    <col min="12" max="12" width="13.7109375" style="49" customWidth="1"/>
    <col min="13" max="13" width="13.7109375" style="6" customWidth="1"/>
    <col min="14" max="16" width="13.7109375" style="49" customWidth="1"/>
    <col min="17" max="17" width="15.7109375" style="7" customWidth="1"/>
    <col min="18" max="18" width="16.28515625" style="49" hidden="1" customWidth="1"/>
    <col min="19" max="19" width="14.85546875" style="53" hidden="1" customWidth="1"/>
    <col min="20" max="20" width="12.5703125" style="3" hidden="1" customWidth="1"/>
    <col min="21" max="22" width="0" style="3" hidden="1" customWidth="1"/>
    <col min="23" max="16384" width="11.42578125" style="3"/>
  </cols>
  <sheetData>
    <row r="1" spans="1:23" x14ac:dyDescent="0.2">
      <c r="A1" s="50" t="s">
        <v>24</v>
      </c>
      <c r="B1" s="51"/>
      <c r="C1" s="51"/>
    </row>
    <row r="2" spans="1:23" x14ac:dyDescent="0.2">
      <c r="A2" s="50" t="s">
        <v>1</v>
      </c>
      <c r="B2" s="51"/>
      <c r="C2" s="51"/>
      <c r="D2" s="2"/>
      <c r="E2" s="8"/>
      <c r="F2" s="8"/>
      <c r="G2" s="8"/>
      <c r="I2" s="54"/>
      <c r="J2" s="55"/>
      <c r="K2" s="9"/>
      <c r="L2" s="56"/>
    </row>
    <row r="3" spans="1:23" x14ac:dyDescent="0.2">
      <c r="A3" s="50" t="s">
        <v>25</v>
      </c>
      <c r="B3" s="51"/>
      <c r="C3" s="51"/>
    </row>
    <row r="4" spans="1:23" x14ac:dyDescent="0.2">
      <c r="A4" s="50" t="s">
        <v>26</v>
      </c>
      <c r="B4" s="51"/>
      <c r="C4" s="51"/>
    </row>
    <row r="5" spans="1:23" x14ac:dyDescent="0.2">
      <c r="A5" s="50"/>
      <c r="B5" s="51"/>
      <c r="C5" s="51"/>
    </row>
    <row r="6" spans="1:23" x14ac:dyDescent="0.2">
      <c r="A6" s="50"/>
      <c r="B6" s="51"/>
      <c r="C6" s="51"/>
    </row>
    <row r="7" spans="1:23" ht="12" thickBot="1" x14ac:dyDescent="0.25">
      <c r="A7" s="50"/>
      <c r="B7" s="51"/>
      <c r="C7" s="51"/>
    </row>
    <row r="8" spans="1:23" ht="15" customHeight="1" thickBot="1" x14ac:dyDescent="0.25">
      <c r="A8" s="57" t="s">
        <v>5</v>
      </c>
      <c r="B8" s="58" t="s">
        <v>5</v>
      </c>
      <c r="C8" s="58"/>
      <c r="D8" s="11" t="s">
        <v>27</v>
      </c>
      <c r="E8" s="59" t="s">
        <v>5</v>
      </c>
      <c r="F8" s="60"/>
      <c r="G8" s="60"/>
      <c r="H8" s="170" t="s">
        <v>8</v>
      </c>
      <c r="I8" s="171"/>
      <c r="J8" s="171"/>
      <c r="K8" s="172"/>
      <c r="L8" s="173" t="s">
        <v>9</v>
      </c>
      <c r="M8" s="174"/>
      <c r="N8" s="175"/>
      <c r="O8" s="173" t="s">
        <v>10</v>
      </c>
      <c r="P8" s="174"/>
      <c r="Q8" s="175"/>
      <c r="V8" s="3">
        <v>8</v>
      </c>
    </row>
    <row r="9" spans="1:23" ht="63.75" customHeight="1" thickBot="1" x14ac:dyDescent="0.25">
      <c r="A9" s="64" t="s">
        <v>28</v>
      </c>
      <c r="B9" s="65" t="s">
        <v>29</v>
      </c>
      <c r="C9" s="65" t="s">
        <v>30</v>
      </c>
      <c r="D9" s="66" t="s">
        <v>3</v>
      </c>
      <c r="E9" s="67" t="s">
        <v>13</v>
      </c>
      <c r="F9" s="68" t="s">
        <v>31</v>
      </c>
      <c r="G9" s="68" t="s">
        <v>32</v>
      </c>
      <c r="H9" s="152" t="s">
        <v>14</v>
      </c>
      <c r="I9" s="69" t="s">
        <v>33</v>
      </c>
      <c r="J9" s="70" t="s">
        <v>34</v>
      </c>
      <c r="K9" s="71" t="s">
        <v>35</v>
      </c>
      <c r="L9" s="62" t="s">
        <v>16</v>
      </c>
      <c r="M9" s="22" t="s">
        <v>19</v>
      </c>
      <c r="N9" s="63" t="s">
        <v>18</v>
      </c>
      <c r="O9" s="61" t="s">
        <v>19</v>
      </c>
      <c r="P9" s="72" t="s">
        <v>16</v>
      </c>
      <c r="Q9" s="73" t="s">
        <v>18</v>
      </c>
      <c r="R9" s="74" t="s">
        <v>36</v>
      </c>
      <c r="S9" s="26" t="s">
        <v>37</v>
      </c>
      <c r="T9" s="26" t="s">
        <v>20</v>
      </c>
      <c r="U9" s="26" t="s">
        <v>38</v>
      </c>
      <c r="V9" s="8" t="s">
        <v>39</v>
      </c>
    </row>
    <row r="10" spans="1:23" ht="33.75" x14ac:dyDescent="0.2">
      <c r="A10" s="75" t="s">
        <v>40</v>
      </c>
      <c r="B10" s="34" t="s">
        <v>41</v>
      </c>
      <c r="C10" s="34"/>
      <c r="D10" s="27" t="s">
        <v>43</v>
      </c>
      <c r="E10" s="28" t="s">
        <v>44</v>
      </c>
      <c r="F10" s="28"/>
      <c r="G10" s="28"/>
      <c r="H10" s="153">
        <v>781</v>
      </c>
      <c r="I10" s="76">
        <v>1127579</v>
      </c>
      <c r="J10" s="76"/>
      <c r="K10" s="29">
        <v>1127579</v>
      </c>
      <c r="L10" s="29">
        <f>38404+929146</f>
        <v>967550</v>
      </c>
      <c r="M10" s="29">
        <v>0</v>
      </c>
      <c r="N10" s="29">
        <f t="shared" ref="N10:N14" si="0">SUM(L10:M10)</f>
        <v>967550</v>
      </c>
      <c r="O10" s="29">
        <v>0</v>
      </c>
      <c r="P10" s="29">
        <f t="shared" ref="P10:P14" si="1">+I10-N10-O10</f>
        <v>160029</v>
      </c>
      <c r="Q10" s="77">
        <f t="shared" ref="Q10:Q14" si="2">SUM(O10:P10)</f>
        <v>160029</v>
      </c>
      <c r="R10" s="49">
        <f>VLOOKUP(H10,'[2]legalizacion abono  abril 2022'!$B$8:$E$20,4,0)</f>
        <v>929146</v>
      </c>
      <c r="S10" s="40" t="e">
        <v>#N/A</v>
      </c>
      <c r="T10" s="3" t="e">
        <v>#N/A</v>
      </c>
      <c r="U10" s="3" t="e">
        <v>#N/A</v>
      </c>
      <c r="V10" s="3" t="e">
        <f>VLOOKUP(H10,[1]COMFENALCO!$B$2:$E$10,4,0)</f>
        <v>#N/A</v>
      </c>
    </row>
    <row r="11" spans="1:23" ht="33.75" x14ac:dyDescent="0.2">
      <c r="A11" s="75" t="s">
        <v>45</v>
      </c>
      <c r="B11" s="34" t="s">
        <v>46</v>
      </c>
      <c r="C11" s="34"/>
      <c r="D11" s="27" t="s">
        <v>47</v>
      </c>
      <c r="E11" s="28" t="s">
        <v>48</v>
      </c>
      <c r="F11" s="28"/>
      <c r="G11" s="28"/>
      <c r="H11" s="153">
        <v>947</v>
      </c>
      <c r="I11" s="76">
        <v>295102</v>
      </c>
      <c r="J11" s="76"/>
      <c r="K11" s="29">
        <v>295102</v>
      </c>
      <c r="L11" s="29">
        <f>148207+100248+9000</f>
        <v>257455</v>
      </c>
      <c r="M11" s="29">
        <v>0</v>
      </c>
      <c r="N11" s="29">
        <f t="shared" si="0"/>
        <v>257455</v>
      </c>
      <c r="O11" s="29">
        <v>0</v>
      </c>
      <c r="P11" s="29">
        <f t="shared" si="1"/>
        <v>37647</v>
      </c>
      <c r="Q11" s="77">
        <f t="shared" si="2"/>
        <v>37647</v>
      </c>
      <c r="R11" s="49" t="e">
        <f>VLOOKUP(H11,'[2]legalizacion abono  abril 2022'!$B$8:$E$20,4,0)</f>
        <v>#N/A</v>
      </c>
      <c r="S11" s="40" t="e">
        <v>#N/A</v>
      </c>
      <c r="T11" s="3" t="e">
        <v>#N/A</v>
      </c>
      <c r="U11" s="3" t="e">
        <v>#N/A</v>
      </c>
      <c r="V11" s="3" t="e">
        <f>VLOOKUP(H11,[1]COMFENALCO!$B$2:$E$10,4,0)</f>
        <v>#N/A</v>
      </c>
    </row>
    <row r="12" spans="1:23" ht="45" x14ac:dyDescent="0.2">
      <c r="A12" s="75" t="s">
        <v>49</v>
      </c>
      <c r="B12" s="34" t="s">
        <v>50</v>
      </c>
      <c r="C12" s="34"/>
      <c r="D12" s="27" t="s">
        <v>51</v>
      </c>
      <c r="E12" s="28" t="s">
        <v>52</v>
      </c>
      <c r="F12" s="28"/>
      <c r="G12" s="28"/>
      <c r="H12" s="153">
        <v>991</v>
      </c>
      <c r="I12" s="76">
        <v>866985</v>
      </c>
      <c r="J12" s="76"/>
      <c r="K12" s="29">
        <v>866985</v>
      </c>
      <c r="L12" s="29">
        <f>72473+69598+134983+255205+375+96370</f>
        <v>629004</v>
      </c>
      <c r="M12" s="29">
        <v>0</v>
      </c>
      <c r="N12" s="29">
        <f t="shared" si="0"/>
        <v>629004</v>
      </c>
      <c r="O12" s="29">
        <v>112942</v>
      </c>
      <c r="P12" s="29">
        <f t="shared" si="1"/>
        <v>125039</v>
      </c>
      <c r="Q12" s="77">
        <f t="shared" si="2"/>
        <v>237981</v>
      </c>
      <c r="R12" s="49">
        <f>VLOOKUP(H12,'[2]legalizacion abono  abril 2022'!$B$8:$E$20,4,0)</f>
        <v>96370</v>
      </c>
      <c r="S12" s="40" t="e">
        <v>#N/A</v>
      </c>
      <c r="T12" s="3" t="e">
        <v>#N/A</v>
      </c>
      <c r="U12" s="3" t="e">
        <v>#N/A</v>
      </c>
      <c r="V12" s="3" t="e">
        <f>VLOOKUP(H12,[1]COMFENALCO!$B$2:$E$10,4,0)</f>
        <v>#N/A</v>
      </c>
    </row>
    <row r="13" spans="1:23" ht="22.5" x14ac:dyDescent="0.2">
      <c r="A13" s="75" t="s">
        <v>49</v>
      </c>
      <c r="B13" s="34" t="s">
        <v>50</v>
      </c>
      <c r="C13" s="34"/>
      <c r="D13" s="27" t="s">
        <v>51</v>
      </c>
      <c r="E13" s="28" t="s">
        <v>42</v>
      </c>
      <c r="F13" s="28"/>
      <c r="G13" s="28"/>
      <c r="H13" s="153">
        <v>982</v>
      </c>
      <c r="I13" s="76">
        <v>1275419</v>
      </c>
      <c r="J13" s="76"/>
      <c r="K13" s="29">
        <v>1275419</v>
      </c>
      <c r="L13" s="29">
        <f>1256119+12200</f>
        <v>1268319</v>
      </c>
      <c r="M13" s="29">
        <v>0</v>
      </c>
      <c r="N13" s="29">
        <f t="shared" si="0"/>
        <v>1268319</v>
      </c>
      <c r="O13" s="29">
        <v>0</v>
      </c>
      <c r="P13" s="29">
        <f t="shared" si="1"/>
        <v>7100</v>
      </c>
      <c r="Q13" s="77">
        <f t="shared" si="2"/>
        <v>7100</v>
      </c>
      <c r="R13" s="49">
        <f>VLOOKUP(H13,'[2]legalizacion abono  abril 2022'!$B$8:$E$20,4,0)</f>
        <v>12200</v>
      </c>
      <c r="S13" s="40" t="e">
        <v>#N/A</v>
      </c>
      <c r="T13" s="3" t="e">
        <v>#N/A</v>
      </c>
      <c r="U13" s="3" t="e">
        <v>#N/A</v>
      </c>
      <c r="V13" s="3" t="e">
        <f>VLOOKUP(H13,[1]COMFENALCO!$B$2:$E$10,4,0)</f>
        <v>#N/A</v>
      </c>
    </row>
    <row r="14" spans="1:23" ht="22.5" x14ac:dyDescent="0.2">
      <c r="A14" s="75" t="s">
        <v>53</v>
      </c>
      <c r="B14" s="34" t="s">
        <v>54</v>
      </c>
      <c r="C14" s="34"/>
      <c r="D14" s="27" t="s">
        <v>55</v>
      </c>
      <c r="E14" s="28" t="s">
        <v>56</v>
      </c>
      <c r="F14" s="28"/>
      <c r="G14" s="28"/>
      <c r="H14" s="153">
        <v>1021</v>
      </c>
      <c r="I14" s="76">
        <v>411381</v>
      </c>
      <c r="J14" s="76"/>
      <c r="K14" s="29">
        <v>411381</v>
      </c>
      <c r="L14" s="29">
        <f>218077+73207+85397</f>
        <v>376681</v>
      </c>
      <c r="M14" s="29">
        <v>0</v>
      </c>
      <c r="N14" s="29">
        <f t="shared" si="0"/>
        <v>376681</v>
      </c>
      <c r="O14" s="29">
        <v>0</v>
      </c>
      <c r="P14" s="29">
        <f t="shared" si="1"/>
        <v>34700</v>
      </c>
      <c r="Q14" s="77">
        <f t="shared" si="2"/>
        <v>34700</v>
      </c>
      <c r="R14" s="49">
        <f>VLOOKUP(H14,'[2]legalizacion abono  abril 2022'!$B$8:$E$20,4,0)</f>
        <v>85397</v>
      </c>
      <c r="S14" s="40" t="e">
        <v>#N/A</v>
      </c>
      <c r="T14" s="3" t="e">
        <v>#N/A</v>
      </c>
      <c r="U14" s="3" t="e">
        <v>#N/A</v>
      </c>
      <c r="V14" s="3" t="e">
        <f>VLOOKUP(H14,[1]COMFENALCO!$B$2:$E$10,4,0)</f>
        <v>#N/A</v>
      </c>
    </row>
    <row r="15" spans="1:23" ht="12.75" customHeight="1" x14ac:dyDescent="0.2">
      <c r="A15" s="78"/>
      <c r="B15" s="41"/>
      <c r="C15" s="41"/>
      <c r="D15" s="31" t="s">
        <v>18</v>
      </c>
      <c r="E15" s="42"/>
      <c r="F15" s="31"/>
      <c r="G15" s="31"/>
      <c r="H15" s="154"/>
      <c r="I15" s="79">
        <f>SUM(I10:I14)</f>
        <v>3976466</v>
      </c>
      <c r="J15" s="79">
        <f>SUM(J10:J14)</f>
        <v>0</v>
      </c>
      <c r="K15" s="33">
        <v>78671389</v>
      </c>
      <c r="L15" s="33">
        <f t="shared" ref="L15:Q15" si="3">SUM(L10:L14)</f>
        <v>3499009</v>
      </c>
      <c r="M15" s="33">
        <f t="shared" si="3"/>
        <v>0</v>
      </c>
      <c r="N15" s="33">
        <f t="shared" si="3"/>
        <v>3499009</v>
      </c>
      <c r="O15" s="33">
        <f t="shared" si="3"/>
        <v>112942</v>
      </c>
      <c r="P15" s="33">
        <f t="shared" si="3"/>
        <v>364515</v>
      </c>
      <c r="Q15" s="33">
        <f t="shared" si="3"/>
        <v>477457</v>
      </c>
      <c r="R15" s="49" t="e">
        <f>VLOOKUP(H15,'[2]legalizacion abono  abril 2022'!$B$8:$E$20,4,0)</f>
        <v>#N/A</v>
      </c>
      <c r="S15" s="40" t="e">
        <v>#N/A</v>
      </c>
      <c r="T15" s="3" t="e">
        <v>#N/A</v>
      </c>
      <c r="U15" s="3" t="e">
        <v>#N/A</v>
      </c>
      <c r="V15" s="3" t="e">
        <f>VLOOKUP(H15,[1]COMFENALCO!$B$2:$E$10,4,0)</f>
        <v>#N/A</v>
      </c>
    </row>
    <row r="16" spans="1:23" s="2" customFormat="1" x14ac:dyDescent="0.2">
      <c r="A16" s="78"/>
      <c r="B16" s="41"/>
      <c r="C16" s="41"/>
      <c r="D16" s="31" t="s">
        <v>18</v>
      </c>
      <c r="E16" s="42"/>
      <c r="F16" s="31"/>
      <c r="G16" s="31"/>
      <c r="H16" s="154"/>
      <c r="I16" s="79">
        <f>SUM(I15:I15)</f>
        <v>3976466</v>
      </c>
      <c r="J16" s="79">
        <f>SUM(J15:J15)</f>
        <v>0</v>
      </c>
      <c r="K16" s="33">
        <v>98589080</v>
      </c>
      <c r="L16" s="33">
        <f t="shared" ref="L16:Q16" si="4">SUM(L15:L15)</f>
        <v>3499009</v>
      </c>
      <c r="M16" s="33">
        <f t="shared" si="4"/>
        <v>0</v>
      </c>
      <c r="N16" s="33">
        <f t="shared" si="4"/>
        <v>3499009</v>
      </c>
      <c r="O16" s="33">
        <f t="shared" si="4"/>
        <v>112942</v>
      </c>
      <c r="P16" s="33">
        <f t="shared" si="4"/>
        <v>364515</v>
      </c>
      <c r="Q16" s="33">
        <f t="shared" si="4"/>
        <v>477457</v>
      </c>
      <c r="R16" s="49" t="e">
        <f>VLOOKUP(H16,'[2]legalizacion abono  abril 2022'!$B$8:$E$20,4,0)</f>
        <v>#N/A</v>
      </c>
      <c r="S16" s="40" t="e">
        <v>#N/A</v>
      </c>
      <c r="T16" s="3" t="e">
        <v>#N/A</v>
      </c>
      <c r="U16" s="3" t="e">
        <v>#N/A</v>
      </c>
      <c r="V16" s="3" t="e">
        <f>VLOOKUP(H16,[1]COMFENALCO!$B$2:$E$10,4,0)</f>
        <v>#N/A</v>
      </c>
      <c r="W16" s="3"/>
    </row>
    <row r="17" spans="1:23" x14ac:dyDescent="0.2">
      <c r="A17" s="75" t="s">
        <v>57</v>
      </c>
      <c r="B17" s="34" t="s">
        <v>58</v>
      </c>
      <c r="C17" s="34"/>
      <c r="D17" s="27" t="s">
        <v>59</v>
      </c>
      <c r="E17" s="28" t="s">
        <v>60</v>
      </c>
      <c r="F17" s="28"/>
      <c r="G17" s="28"/>
      <c r="H17" s="153">
        <v>1770</v>
      </c>
      <c r="I17" s="76">
        <v>1301174</v>
      </c>
      <c r="J17" s="76"/>
      <c r="K17" s="29">
        <v>1301174</v>
      </c>
      <c r="L17" s="29">
        <f>1086636+179638</f>
        <v>1266274</v>
      </c>
      <c r="M17" s="29">
        <v>42000</v>
      </c>
      <c r="N17" s="29">
        <f t="shared" ref="N17:N21" si="5">SUM(L17:M17)</f>
        <v>1308274</v>
      </c>
      <c r="O17" s="29">
        <v>0</v>
      </c>
      <c r="P17" s="29">
        <f t="shared" ref="P17" si="6">+K17-N17</f>
        <v>-7100</v>
      </c>
      <c r="Q17" s="77">
        <f t="shared" ref="Q17:Q21" si="7">SUM(O17:P17)</f>
        <v>-7100</v>
      </c>
      <c r="R17" s="49" t="e">
        <f>VLOOKUP(H17,'[2]legalizacion abono  abril 2022'!$B$8:$E$20,4,0)</f>
        <v>#N/A</v>
      </c>
      <c r="S17" s="40" t="e">
        <v>#N/A</v>
      </c>
      <c r="T17" s="3" t="e">
        <v>#N/A</v>
      </c>
      <c r="U17" s="3" t="e">
        <v>#N/A</v>
      </c>
      <c r="V17" s="3" t="e">
        <f>VLOOKUP(H17,[1]COMFENALCO!$B$2:$E$10,4,0)</f>
        <v>#N/A</v>
      </c>
    </row>
    <row r="18" spans="1:23" x14ac:dyDescent="0.2">
      <c r="A18" s="75" t="s">
        <v>61</v>
      </c>
      <c r="B18" s="34" t="s">
        <v>62</v>
      </c>
      <c r="C18" s="34"/>
      <c r="D18" s="27" t="s">
        <v>63</v>
      </c>
      <c r="E18" s="28" t="s">
        <v>64</v>
      </c>
      <c r="F18" s="28"/>
      <c r="G18" s="28"/>
      <c r="H18" s="153">
        <v>1876</v>
      </c>
      <c r="I18" s="76">
        <v>1628764</v>
      </c>
      <c r="J18" s="76"/>
      <c r="K18" s="29">
        <v>1628764</v>
      </c>
      <c r="L18" s="29">
        <f>1299736+44400+238254</f>
        <v>1582390</v>
      </c>
      <c r="M18" s="29">
        <f>131970-94800</f>
        <v>37170</v>
      </c>
      <c r="N18" s="29">
        <f t="shared" si="5"/>
        <v>1619560</v>
      </c>
      <c r="O18" s="29">
        <f>+I18-N18</f>
        <v>9204</v>
      </c>
      <c r="P18" s="29">
        <f>+K18-N18-O18</f>
        <v>0</v>
      </c>
      <c r="Q18" s="77">
        <f t="shared" si="7"/>
        <v>9204</v>
      </c>
      <c r="R18" s="49" t="e">
        <f>VLOOKUP(H18,'[2]legalizacion abono  abril 2022'!$B$8:$E$20,4,0)</f>
        <v>#N/A</v>
      </c>
      <c r="S18" s="40" t="e">
        <v>#N/A</v>
      </c>
      <c r="T18" s="3" t="e">
        <v>#N/A</v>
      </c>
      <c r="U18" s="3" t="e">
        <v>#N/A</v>
      </c>
      <c r="V18" s="3" t="e">
        <f>VLOOKUP(H18,[1]COMFENALCO!$B$2:$E$10,4,0)</f>
        <v>#N/A</v>
      </c>
    </row>
    <row r="19" spans="1:23" x14ac:dyDescent="0.2">
      <c r="A19" s="75" t="s">
        <v>66</v>
      </c>
      <c r="B19" s="34" t="s">
        <v>67</v>
      </c>
      <c r="C19" s="34"/>
      <c r="D19" s="27" t="s">
        <v>68</v>
      </c>
      <c r="E19" s="28" t="s">
        <v>69</v>
      </c>
      <c r="F19" s="28"/>
      <c r="G19" s="28"/>
      <c r="H19" s="153">
        <v>1911</v>
      </c>
      <c r="I19" s="76">
        <v>880358</v>
      </c>
      <c r="J19" s="76"/>
      <c r="K19" s="29">
        <v>880358</v>
      </c>
      <c r="L19" s="29">
        <f>568066+107192+164700</f>
        <v>839958</v>
      </c>
      <c r="M19" s="29">
        <v>42000</v>
      </c>
      <c r="N19" s="29">
        <f t="shared" si="5"/>
        <v>881958</v>
      </c>
      <c r="O19" s="29">
        <v>0</v>
      </c>
      <c r="P19" s="29">
        <f>+K19-N19-O19</f>
        <v>-1600</v>
      </c>
      <c r="Q19" s="77">
        <f t="shared" si="7"/>
        <v>-1600</v>
      </c>
      <c r="R19" s="49" t="e">
        <f>VLOOKUP(H19,'[2]legalizacion abono  abril 2022'!$B$8:$E$20,4,0)</f>
        <v>#N/A</v>
      </c>
      <c r="S19" s="40" t="e">
        <v>#N/A</v>
      </c>
      <c r="T19" s="3" t="e">
        <v>#N/A</v>
      </c>
      <c r="U19" s="3" t="e">
        <v>#N/A</v>
      </c>
      <c r="V19" s="3" t="e">
        <f>VLOOKUP(H19,[1]COMFENALCO!$B$2:$E$10,4,0)</f>
        <v>#N/A</v>
      </c>
    </row>
    <row r="20" spans="1:23" x14ac:dyDescent="0.2">
      <c r="A20" s="75" t="s">
        <v>65</v>
      </c>
      <c r="B20" s="34" t="s">
        <v>70</v>
      </c>
      <c r="C20" s="34"/>
      <c r="D20" s="27" t="s">
        <v>71</v>
      </c>
      <c r="E20" s="28" t="s">
        <v>72</v>
      </c>
      <c r="F20" s="28"/>
      <c r="G20" s="28"/>
      <c r="H20" s="153">
        <v>1941</v>
      </c>
      <c r="I20" s="76">
        <v>1061787</v>
      </c>
      <c r="J20" s="76"/>
      <c r="K20" s="29">
        <v>1061787</v>
      </c>
      <c r="L20" s="29">
        <f>888402+178985</f>
        <v>1067387</v>
      </c>
      <c r="M20" s="29">
        <v>0</v>
      </c>
      <c r="N20" s="29">
        <f t="shared" si="5"/>
        <v>1067387</v>
      </c>
      <c r="O20" s="29">
        <v>0</v>
      </c>
      <c r="P20" s="29">
        <f>+K20-N20-O20</f>
        <v>-5600</v>
      </c>
      <c r="Q20" s="77">
        <f t="shared" si="7"/>
        <v>-5600</v>
      </c>
      <c r="R20" s="49" t="e">
        <f>VLOOKUP(H20,'[2]legalizacion abono  abril 2022'!$B$8:$E$20,4,0)</f>
        <v>#N/A</v>
      </c>
      <c r="S20" s="40" t="e">
        <v>#N/A</v>
      </c>
      <c r="T20" s="3" t="e">
        <v>#N/A</v>
      </c>
      <c r="U20" s="3" t="e">
        <v>#N/A</v>
      </c>
      <c r="V20" s="3" t="e">
        <f>VLOOKUP(H20,[1]COMFENALCO!$B$2:$E$10,4,0)</f>
        <v>#N/A</v>
      </c>
    </row>
    <row r="21" spans="1:23" ht="33.75" x14ac:dyDescent="0.2">
      <c r="A21" s="75"/>
      <c r="B21" s="34"/>
      <c r="C21" s="34"/>
      <c r="D21" s="28" t="s">
        <v>73</v>
      </c>
      <c r="E21" s="80" t="s">
        <v>74</v>
      </c>
      <c r="F21" s="80"/>
      <c r="G21" s="80"/>
      <c r="H21" s="155"/>
      <c r="I21" s="76"/>
      <c r="J21" s="76"/>
      <c r="K21" s="29"/>
      <c r="L21" s="29">
        <v>112988</v>
      </c>
      <c r="M21" s="29">
        <v>0</v>
      </c>
      <c r="N21" s="29">
        <f t="shared" si="5"/>
        <v>112988</v>
      </c>
      <c r="O21" s="29">
        <v>0</v>
      </c>
      <c r="P21" s="29">
        <f>+K21-N21-O21</f>
        <v>-112988</v>
      </c>
      <c r="Q21" s="81">
        <f t="shared" si="7"/>
        <v>-112988</v>
      </c>
      <c r="R21" s="49" t="e">
        <f>VLOOKUP(H21,'[2]legalizacion abono  abril 2022'!$B$8:$E$20,4,0)</f>
        <v>#N/A</v>
      </c>
      <c r="S21" s="40" t="e">
        <v>#N/A</v>
      </c>
      <c r="T21" s="3" t="e">
        <v>#N/A</v>
      </c>
      <c r="U21" s="3" t="e">
        <v>#N/A</v>
      </c>
      <c r="V21" s="3" t="e">
        <f>VLOOKUP(H21,[1]COMFENALCO!$B$2:$E$10,4,0)</f>
        <v>#N/A</v>
      </c>
    </row>
    <row r="22" spans="1:23" s="2" customFormat="1" x14ac:dyDescent="0.2">
      <c r="A22" s="78"/>
      <c r="B22" s="41"/>
      <c r="C22" s="41"/>
      <c r="D22" s="31" t="s">
        <v>18</v>
      </c>
      <c r="E22" s="42" t="s">
        <v>3</v>
      </c>
      <c r="F22" s="42"/>
      <c r="G22" s="42"/>
      <c r="H22" s="154"/>
      <c r="I22" s="79">
        <f t="shared" ref="I22:Q22" si="8">SUM(I16:I21)</f>
        <v>8848549</v>
      </c>
      <c r="J22" s="79">
        <f t="shared" si="8"/>
        <v>0</v>
      </c>
      <c r="K22" s="33">
        <f t="shared" si="8"/>
        <v>103461163</v>
      </c>
      <c r="L22" s="33">
        <f t="shared" si="8"/>
        <v>8368006</v>
      </c>
      <c r="M22" s="33">
        <f t="shared" si="8"/>
        <v>121170</v>
      </c>
      <c r="N22" s="33">
        <f t="shared" si="8"/>
        <v>8489176</v>
      </c>
      <c r="O22" s="33">
        <f t="shared" si="8"/>
        <v>122146</v>
      </c>
      <c r="P22" s="33">
        <f t="shared" si="8"/>
        <v>237227</v>
      </c>
      <c r="Q22" s="33">
        <f t="shared" si="8"/>
        <v>359373</v>
      </c>
      <c r="R22" s="49" t="e">
        <f>VLOOKUP(H22,'[2]legalizacion abono  abril 2022'!$B$8:$E$20,4,0)</f>
        <v>#N/A</v>
      </c>
      <c r="S22" s="40" t="e">
        <v>#N/A</v>
      </c>
      <c r="T22" s="3" t="e">
        <v>#N/A</v>
      </c>
      <c r="U22" s="3" t="e">
        <v>#N/A</v>
      </c>
      <c r="V22" s="3" t="e">
        <f>VLOOKUP(H22,[1]COMFENALCO!$B$2:$E$10,4,0)</f>
        <v>#N/A</v>
      </c>
      <c r="W22" s="3"/>
    </row>
    <row r="23" spans="1:23" x14ac:dyDescent="0.2">
      <c r="A23" s="78"/>
      <c r="B23" s="41"/>
      <c r="C23" s="41"/>
      <c r="D23" s="31" t="s">
        <v>18</v>
      </c>
      <c r="E23" s="42"/>
      <c r="F23" s="42"/>
      <c r="G23" s="42"/>
      <c r="H23" s="156"/>
      <c r="I23" s="79">
        <f>SUM(I22:I22)</f>
        <v>8848549</v>
      </c>
      <c r="J23" s="79">
        <f>SUM(J22:J22)</f>
        <v>0</v>
      </c>
      <c r="K23" s="33">
        <v>133163137</v>
      </c>
      <c r="L23" s="32">
        <f t="shared" ref="L23:Q23" si="9">SUM(L22:L22)</f>
        <v>8368006</v>
      </c>
      <c r="M23" s="32">
        <f t="shared" si="9"/>
        <v>121170</v>
      </c>
      <c r="N23" s="32">
        <f t="shared" si="9"/>
        <v>8489176</v>
      </c>
      <c r="O23" s="32">
        <f t="shared" si="9"/>
        <v>122146</v>
      </c>
      <c r="P23" s="32">
        <f t="shared" si="9"/>
        <v>237227</v>
      </c>
      <c r="Q23" s="33">
        <f t="shared" si="9"/>
        <v>359373</v>
      </c>
      <c r="R23" s="49" t="e">
        <f>VLOOKUP(H23,'[2]legalizacion abono  abril 2022'!$B$8:$E$20,4,0)</f>
        <v>#N/A</v>
      </c>
      <c r="S23" s="40" t="e">
        <v>#N/A</v>
      </c>
      <c r="T23" s="3" t="e">
        <v>#N/A</v>
      </c>
      <c r="U23" s="3" t="e">
        <v>#N/A</v>
      </c>
      <c r="V23" s="3" t="e">
        <f>VLOOKUP(H23,[1]COMFENALCO!$B$2:$E$10,4,0)</f>
        <v>#N/A</v>
      </c>
    </row>
    <row r="24" spans="1:23" ht="22.5" x14ac:dyDescent="0.2">
      <c r="A24" s="75" t="s">
        <v>75</v>
      </c>
      <c r="B24" s="34" t="s">
        <v>76</v>
      </c>
      <c r="C24" s="34"/>
      <c r="D24" s="27" t="s">
        <v>77</v>
      </c>
      <c r="E24" s="28" t="s">
        <v>78</v>
      </c>
      <c r="F24" s="28"/>
      <c r="G24" s="28"/>
      <c r="H24" s="153">
        <v>2396</v>
      </c>
      <c r="I24" s="76">
        <v>1917670</v>
      </c>
      <c r="J24" s="76"/>
      <c r="K24" s="29">
        <v>1917670</v>
      </c>
      <c r="L24" s="29">
        <f>1811427+84243+7600</f>
        <v>1903270</v>
      </c>
      <c r="M24" s="29">
        <v>14000</v>
      </c>
      <c r="N24" s="29">
        <f t="shared" ref="N24:N26" si="10">SUM(L24:M24)</f>
        <v>1917270</v>
      </c>
      <c r="O24" s="29">
        <v>0</v>
      </c>
      <c r="P24" s="29">
        <f>+K24-N24-O24</f>
        <v>400</v>
      </c>
      <c r="Q24" s="77">
        <f t="shared" ref="Q24:Q26" si="11">SUM(O24:P24)</f>
        <v>400</v>
      </c>
      <c r="R24" s="49" t="e">
        <f>VLOOKUP(H24,'[2]legalizacion abono  abril 2022'!$B$8:$E$20,4,0)</f>
        <v>#N/A</v>
      </c>
      <c r="S24" s="40" t="e">
        <v>#N/A</v>
      </c>
      <c r="T24" s="3" t="e">
        <v>#N/A</v>
      </c>
      <c r="U24" s="3" t="e">
        <v>#N/A</v>
      </c>
      <c r="V24" s="3" t="e">
        <f>VLOOKUP(H24,[1]COMFENALCO!$B$2:$E$10,4,0)</f>
        <v>#N/A</v>
      </c>
    </row>
    <row r="25" spans="1:23" x14ac:dyDescent="0.2">
      <c r="A25" s="75" t="s">
        <v>80</v>
      </c>
      <c r="B25" s="34" t="s">
        <v>79</v>
      </c>
      <c r="C25" s="34"/>
      <c r="D25" s="27" t="s">
        <v>81</v>
      </c>
      <c r="E25" s="28" t="s">
        <v>82</v>
      </c>
      <c r="F25" s="28"/>
      <c r="G25" s="28"/>
      <c r="H25" s="153">
        <v>2501</v>
      </c>
      <c r="I25" s="76">
        <v>1654156</v>
      </c>
      <c r="J25" s="76"/>
      <c r="K25" s="29">
        <v>1654156</v>
      </c>
      <c r="L25" s="29">
        <v>1500607</v>
      </c>
      <c r="M25" s="29">
        <v>107974</v>
      </c>
      <c r="N25" s="29">
        <f t="shared" si="10"/>
        <v>1608581</v>
      </c>
      <c r="O25" s="29">
        <v>0</v>
      </c>
      <c r="P25" s="29">
        <f>+K25-N25</f>
        <v>45575</v>
      </c>
      <c r="Q25" s="77">
        <f t="shared" si="11"/>
        <v>45575</v>
      </c>
      <c r="R25" s="49" t="e">
        <f>VLOOKUP(H25,'[2]legalizacion abono  abril 2022'!$B$8:$E$20,4,0)</f>
        <v>#N/A</v>
      </c>
      <c r="S25" s="40" t="e">
        <v>#N/A</v>
      </c>
      <c r="T25" s="3" t="e">
        <v>#N/A</v>
      </c>
      <c r="U25" s="3" t="e">
        <v>#N/A</v>
      </c>
      <c r="V25" s="3" t="e">
        <f>VLOOKUP(H25,[1]COMFENALCO!$B$2:$E$10,4,0)</f>
        <v>#N/A</v>
      </c>
    </row>
    <row r="26" spans="1:23" ht="45" x14ac:dyDescent="0.2">
      <c r="A26" s="75" t="s">
        <v>83</v>
      </c>
      <c r="B26" s="34" t="s">
        <v>84</v>
      </c>
      <c r="C26" s="34"/>
      <c r="D26" s="27" t="s">
        <v>85</v>
      </c>
      <c r="E26" s="28" t="s">
        <v>86</v>
      </c>
      <c r="F26" s="28"/>
      <c r="G26" s="28"/>
      <c r="H26" s="155">
        <v>2649</v>
      </c>
      <c r="I26" s="76">
        <v>2814401</v>
      </c>
      <c r="J26" s="76"/>
      <c r="K26" s="29">
        <v>2814401</v>
      </c>
      <c r="L26" s="29">
        <f>1762972+59815+949314+42300</f>
        <v>2814401</v>
      </c>
      <c r="M26" s="29">
        <v>43415</v>
      </c>
      <c r="N26" s="29">
        <f t="shared" si="10"/>
        <v>2857816</v>
      </c>
      <c r="O26" s="29">
        <v>0</v>
      </c>
      <c r="P26" s="29">
        <f>+K26-N26-O26</f>
        <v>-43415</v>
      </c>
      <c r="Q26" s="77">
        <f t="shared" si="11"/>
        <v>-43415</v>
      </c>
      <c r="R26" s="49" t="e">
        <f>VLOOKUP(H26,'[2]legalizacion abono  abril 2022'!$B$8:$E$20,4,0)</f>
        <v>#N/A</v>
      </c>
      <c r="S26" s="40" t="e">
        <v>#N/A</v>
      </c>
      <c r="T26" s="3" t="e">
        <v>#N/A</v>
      </c>
      <c r="U26" s="3" t="e">
        <v>#N/A</v>
      </c>
      <c r="V26" s="3" t="e">
        <f>VLOOKUP(H26,[1]COMFENALCO!$B$2:$E$10,4,0)</f>
        <v>#N/A</v>
      </c>
    </row>
    <row r="27" spans="1:23" s="2" customFormat="1" x14ac:dyDescent="0.2">
      <c r="A27" s="78"/>
      <c r="B27" s="41"/>
      <c r="C27" s="41"/>
      <c r="D27" s="31" t="s">
        <v>18</v>
      </c>
      <c r="E27" s="42"/>
      <c r="F27" s="42"/>
      <c r="G27" s="42"/>
      <c r="H27" s="156"/>
      <c r="I27" s="79">
        <f>SUM(I23:I26)</f>
        <v>15234776</v>
      </c>
      <c r="J27" s="79">
        <f>SUM(J23:J26)</f>
        <v>0</v>
      </c>
      <c r="K27" s="33">
        <v>151606641</v>
      </c>
      <c r="L27" s="33">
        <f t="shared" ref="L27:Q27" si="12">SUM(L23:L26)</f>
        <v>14586284</v>
      </c>
      <c r="M27" s="33">
        <f t="shared" si="12"/>
        <v>286559</v>
      </c>
      <c r="N27" s="33">
        <f t="shared" si="12"/>
        <v>14872843</v>
      </c>
      <c r="O27" s="33">
        <f t="shared" si="12"/>
        <v>122146</v>
      </c>
      <c r="P27" s="33">
        <f t="shared" si="12"/>
        <v>239787</v>
      </c>
      <c r="Q27" s="33">
        <f t="shared" si="12"/>
        <v>361933</v>
      </c>
      <c r="R27" s="49" t="e">
        <f>VLOOKUP(H27,'[2]legalizacion abono  abril 2022'!$B$8:$E$20,4,0)</f>
        <v>#N/A</v>
      </c>
      <c r="S27" s="40" t="e">
        <v>#N/A</v>
      </c>
      <c r="T27" s="3" t="e">
        <v>#N/A</v>
      </c>
      <c r="U27" s="3" t="e">
        <v>#N/A</v>
      </c>
      <c r="V27" s="3" t="e">
        <f>VLOOKUP(H27,[1]COMFENALCO!$B$2:$E$10,4,0)</f>
        <v>#N/A</v>
      </c>
      <c r="W27" s="3"/>
    </row>
    <row r="28" spans="1:23" ht="22.5" x14ac:dyDescent="0.2">
      <c r="A28" s="75" t="s">
        <v>87</v>
      </c>
      <c r="B28" s="82" t="s">
        <v>88</v>
      </c>
      <c r="C28" s="82"/>
      <c r="D28" s="27" t="s">
        <v>89</v>
      </c>
      <c r="E28" s="28" t="s">
        <v>90</v>
      </c>
      <c r="F28" s="28"/>
      <c r="G28" s="28"/>
      <c r="H28" s="157">
        <v>3180</v>
      </c>
      <c r="I28" s="76">
        <v>2188239</v>
      </c>
      <c r="J28" s="83"/>
      <c r="K28" s="29">
        <v>2188239</v>
      </c>
      <c r="L28" s="29">
        <f>507568+1561478+45575+209362+142946</f>
        <v>2466929</v>
      </c>
      <c r="M28" s="29">
        <f>4100+3900+3900+3900+7800</f>
        <v>23600</v>
      </c>
      <c r="N28" s="29">
        <f>SUM(L28:M28)</f>
        <v>2490529</v>
      </c>
      <c r="O28" s="29">
        <v>0</v>
      </c>
      <c r="P28" s="29">
        <f>+K28-N28-O28</f>
        <v>-302290</v>
      </c>
      <c r="Q28" s="77">
        <f>SUM(O28:P28)</f>
        <v>-302290</v>
      </c>
      <c r="R28" s="49" t="e">
        <f>VLOOKUP(H28,'[2]legalizacion abono  abril 2022'!$B$8:$E$20,4,0)</f>
        <v>#N/A</v>
      </c>
      <c r="S28" s="40" t="e">
        <v>#N/A</v>
      </c>
      <c r="T28" s="3" t="e">
        <v>#N/A</v>
      </c>
      <c r="U28" s="3" t="e">
        <v>#N/A</v>
      </c>
      <c r="V28" s="3" t="e">
        <f>VLOOKUP(H28,[1]COMFENALCO!$B$2:$E$10,4,0)</f>
        <v>#N/A</v>
      </c>
    </row>
    <row r="29" spans="1:23" s="2" customFormat="1" x14ac:dyDescent="0.2">
      <c r="A29" s="78"/>
      <c r="B29" s="41"/>
      <c r="C29" s="41"/>
      <c r="D29" s="31" t="s">
        <v>18</v>
      </c>
      <c r="E29" s="42"/>
      <c r="F29" s="42"/>
      <c r="G29" s="42"/>
      <c r="H29" s="156"/>
      <c r="I29" s="79">
        <f>SUM(I27:I28)</f>
        <v>17423015</v>
      </c>
      <c r="J29" s="79">
        <f>SUM(J27:J28)</f>
        <v>0</v>
      </c>
      <c r="K29" s="33">
        <v>153794880</v>
      </c>
      <c r="L29" s="33">
        <f t="shared" ref="L29:Q29" si="13">SUM(L27:L28)</f>
        <v>17053213</v>
      </c>
      <c r="M29" s="33">
        <f t="shared" si="13"/>
        <v>310159</v>
      </c>
      <c r="N29" s="33">
        <f t="shared" si="13"/>
        <v>17363372</v>
      </c>
      <c r="O29" s="33">
        <f t="shared" si="13"/>
        <v>122146</v>
      </c>
      <c r="P29" s="33">
        <f t="shared" si="13"/>
        <v>-62503</v>
      </c>
      <c r="Q29" s="84">
        <f t="shared" si="13"/>
        <v>59643</v>
      </c>
      <c r="R29" s="49" t="e">
        <f>VLOOKUP(H29,'[2]legalizacion abono  abril 2022'!$B$8:$E$20,4,0)</f>
        <v>#N/A</v>
      </c>
      <c r="S29" s="40" t="e">
        <v>#N/A</v>
      </c>
      <c r="T29" s="3" t="e">
        <v>#N/A</v>
      </c>
      <c r="U29" s="3" t="e">
        <v>#N/A</v>
      </c>
      <c r="V29" s="3" t="e">
        <f>VLOOKUP(H29,[1]COMFENALCO!$B$2:$E$10,4,0)</f>
        <v>#N/A</v>
      </c>
      <c r="W29" s="3"/>
    </row>
    <row r="30" spans="1:23" ht="45" x14ac:dyDescent="0.2">
      <c r="A30" s="75"/>
      <c r="B30" s="82"/>
      <c r="C30" s="82"/>
      <c r="D30" s="85" t="s">
        <v>94</v>
      </c>
      <c r="E30" s="28" t="s">
        <v>95</v>
      </c>
      <c r="F30" s="28"/>
      <c r="G30" s="28"/>
      <c r="H30" s="157"/>
      <c r="I30" s="76"/>
      <c r="J30" s="83"/>
      <c r="K30" s="29">
        <v>0</v>
      </c>
      <c r="L30" s="29">
        <v>91643</v>
      </c>
      <c r="M30" s="29">
        <v>0</v>
      </c>
      <c r="N30" s="29">
        <f t="shared" ref="N30:N31" si="14">SUM(L30:M30)</f>
        <v>91643</v>
      </c>
      <c r="O30" s="29">
        <v>0</v>
      </c>
      <c r="P30" s="29">
        <f t="shared" ref="P30:P31" si="15">+K30-N30</f>
        <v>-91643</v>
      </c>
      <c r="Q30" s="81">
        <f t="shared" ref="Q30:Q31" si="16">SUM(O30:P30)</f>
        <v>-91643</v>
      </c>
      <c r="R30" s="49" t="e">
        <f>VLOOKUP(H30,'[2]legalizacion abono  abril 2022'!$B$8:$E$20,4,0)</f>
        <v>#N/A</v>
      </c>
      <c r="S30" s="40" t="e">
        <v>#N/A</v>
      </c>
      <c r="T30" s="3" t="e">
        <v>#N/A</v>
      </c>
      <c r="U30" s="3" t="e">
        <v>#N/A</v>
      </c>
      <c r="V30" s="3" t="e">
        <f>VLOOKUP(H30,[1]COMFENALCO!$B$2:$E$10,4,0)</f>
        <v>#N/A</v>
      </c>
    </row>
    <row r="31" spans="1:23" x14ac:dyDescent="0.2">
      <c r="A31" s="75" t="s">
        <v>91</v>
      </c>
      <c r="B31" s="82" t="s">
        <v>92</v>
      </c>
      <c r="C31" s="82"/>
      <c r="D31" s="27" t="s">
        <v>93</v>
      </c>
      <c r="E31" s="28" t="s">
        <v>96</v>
      </c>
      <c r="F31" s="28"/>
      <c r="G31" s="28"/>
      <c r="H31" s="157">
        <v>3698</v>
      </c>
      <c r="I31" s="76">
        <v>36400</v>
      </c>
      <c r="J31" s="83"/>
      <c r="K31" s="29">
        <v>36400</v>
      </c>
      <c r="L31" s="29">
        <v>4400</v>
      </c>
      <c r="M31" s="29">
        <v>0</v>
      </c>
      <c r="N31" s="29">
        <f t="shared" si="14"/>
        <v>4400</v>
      </c>
      <c r="O31" s="29">
        <v>0</v>
      </c>
      <c r="P31" s="29">
        <f t="shared" si="15"/>
        <v>32000</v>
      </c>
      <c r="Q31" s="77">
        <f t="shared" si="16"/>
        <v>32000</v>
      </c>
      <c r="R31" s="49" t="e">
        <f>VLOOKUP(H31,'[2]legalizacion abono  abril 2022'!$B$8:$E$20,4,0)</f>
        <v>#N/A</v>
      </c>
      <c r="S31" s="40" t="e">
        <v>#N/A</v>
      </c>
      <c r="T31" s="3" t="e">
        <v>#N/A</v>
      </c>
      <c r="U31" s="3" t="e">
        <v>#N/A</v>
      </c>
      <c r="V31" s="3" t="e">
        <f>VLOOKUP(H31,[1]COMFENALCO!$B$2:$E$10,4,0)</f>
        <v>#N/A</v>
      </c>
    </row>
    <row r="32" spans="1:23" ht="22.5" customHeight="1" x14ac:dyDescent="0.2">
      <c r="A32" s="86" t="s">
        <v>97</v>
      </c>
      <c r="B32" s="87" t="s">
        <v>98</v>
      </c>
      <c r="C32" s="87"/>
      <c r="D32" s="88" t="s">
        <v>99</v>
      </c>
      <c r="E32" s="28" t="s">
        <v>100</v>
      </c>
      <c r="F32" s="89"/>
      <c r="G32" s="89"/>
      <c r="H32" s="158">
        <v>5752</v>
      </c>
      <c r="I32" s="90">
        <v>893205</v>
      </c>
      <c r="J32" s="90"/>
      <c r="K32" s="91">
        <f t="shared" ref="K32" si="17">SUBTOTAL(9,I32:J32)</f>
        <v>893205</v>
      </c>
      <c r="L32" s="91">
        <f>+S32</f>
        <v>196524</v>
      </c>
      <c r="M32" s="91">
        <v>0</v>
      </c>
      <c r="N32" s="91">
        <f t="shared" ref="N32" si="18">SUM(L32:M32)</f>
        <v>196524</v>
      </c>
      <c r="O32" s="91">
        <v>0</v>
      </c>
      <c r="P32" s="91">
        <f t="shared" ref="P32" si="19">+K32-N32</f>
        <v>696681</v>
      </c>
      <c r="Q32" s="92">
        <f>SUBTOTAL(9,O32:P32)</f>
        <v>696681</v>
      </c>
      <c r="R32" s="49" t="e">
        <f>VLOOKUP(H32,'[2]legalizacion abono  abril 2022'!$B$8:$E$20,4,0)</f>
        <v>#N/A</v>
      </c>
      <c r="S32" s="40">
        <v>196524</v>
      </c>
      <c r="T32" s="3" t="e">
        <v>#N/A</v>
      </c>
      <c r="U32" s="3" t="e">
        <v>#N/A</v>
      </c>
      <c r="V32" s="3" t="e">
        <f>VLOOKUP(H32,[1]COMFENALCO!$B$2:$E$10,4,0)</f>
        <v>#N/A</v>
      </c>
    </row>
    <row r="33" spans="1:23" s="2" customFormat="1" x14ac:dyDescent="0.2">
      <c r="A33" s="78"/>
      <c r="B33" s="41"/>
      <c r="C33" s="41"/>
      <c r="D33" s="31" t="s">
        <v>18</v>
      </c>
      <c r="E33" s="42"/>
      <c r="F33" s="42"/>
      <c r="G33" s="42"/>
      <c r="H33" s="159"/>
      <c r="I33" s="93">
        <f t="shared" ref="I33:Q33" si="20">SUM(I32:I32)</f>
        <v>893205</v>
      </c>
      <c r="J33" s="93">
        <f t="shared" si="20"/>
        <v>0</v>
      </c>
      <c r="K33" s="93">
        <f t="shared" si="20"/>
        <v>893205</v>
      </c>
      <c r="L33" s="93">
        <f t="shared" si="20"/>
        <v>196524</v>
      </c>
      <c r="M33" s="93">
        <f t="shared" si="20"/>
        <v>0</v>
      </c>
      <c r="N33" s="93">
        <f t="shared" si="20"/>
        <v>196524</v>
      </c>
      <c r="O33" s="93">
        <f t="shared" si="20"/>
        <v>0</v>
      </c>
      <c r="P33" s="93">
        <f t="shared" si="20"/>
        <v>696681</v>
      </c>
      <c r="Q33" s="93">
        <f t="shared" si="20"/>
        <v>696681</v>
      </c>
      <c r="R33" s="49" t="e">
        <f>VLOOKUP(H33,'[2]legalizacion abono  abril 2022'!$B$8:$E$20,4,0)</f>
        <v>#N/A</v>
      </c>
      <c r="S33" s="40" t="e">
        <v>#N/A</v>
      </c>
      <c r="T33" s="3" t="e">
        <v>#N/A</v>
      </c>
      <c r="U33" s="3" t="e">
        <v>#N/A</v>
      </c>
      <c r="V33" s="3" t="e">
        <f>VLOOKUP(H33,[1]COMFENALCO!$B$2:$E$10,4,0)</f>
        <v>#N/A</v>
      </c>
      <c r="W33" s="3"/>
    </row>
    <row r="34" spans="1:23" s="100" customFormat="1" x14ac:dyDescent="0.2">
      <c r="A34" s="94">
        <v>44526</v>
      </c>
      <c r="B34" s="95">
        <f>[3]Hoja2!$Y$4937</f>
        <v>44561</v>
      </c>
      <c r="C34" s="95">
        <v>44726</v>
      </c>
      <c r="D34" s="96" t="s">
        <v>101</v>
      </c>
      <c r="E34" s="97"/>
      <c r="F34" s="96" t="s">
        <v>102</v>
      </c>
      <c r="G34" s="96"/>
      <c r="H34" s="160">
        <v>1377684</v>
      </c>
      <c r="I34" s="96">
        <f>[3]Hoja2!$Q$4937</f>
        <v>71770</v>
      </c>
      <c r="J34" s="96"/>
      <c r="K34" s="98">
        <f>SUBTOTAL(9,I34:J34)</f>
        <v>71770</v>
      </c>
      <c r="L34" s="98">
        <v>0</v>
      </c>
      <c r="M34" s="98">
        <v>0</v>
      </c>
      <c r="N34" s="98">
        <f>SUM(L34:M34)</f>
        <v>0</v>
      </c>
      <c r="O34" s="98">
        <v>0</v>
      </c>
      <c r="P34" s="98">
        <f>+K34-N34</f>
        <v>71770</v>
      </c>
      <c r="Q34" s="98">
        <f>SUBTOTAL(9,O34:P34)</f>
        <v>71770</v>
      </c>
      <c r="R34" s="99" t="e">
        <f>VLOOKUP(H34,'[2]legalizacion abono  abril 2022'!$B$8:$E$20,4,0)</f>
        <v>#N/A</v>
      </c>
      <c r="S34" s="40" t="e">
        <v>#N/A</v>
      </c>
      <c r="T34" s="3" t="e">
        <v>#N/A</v>
      </c>
      <c r="U34" s="3" t="e">
        <v>#N/A</v>
      </c>
      <c r="V34" s="3" t="e">
        <f>VLOOKUP(H34,[1]COMFENALCO!$B$2:$E$10,4,0)</f>
        <v>#N/A</v>
      </c>
      <c r="W34" s="3"/>
    </row>
    <row r="35" spans="1:23" x14ac:dyDescent="0.2">
      <c r="A35" s="101">
        <v>44524</v>
      </c>
      <c r="B35" s="102">
        <f>[3]Hoja2!$Y$4476</f>
        <v>44561</v>
      </c>
      <c r="C35" s="103">
        <v>44726</v>
      </c>
      <c r="D35" s="104" t="s">
        <v>101</v>
      </c>
      <c r="E35" s="105"/>
      <c r="F35" s="104" t="s">
        <v>103</v>
      </c>
      <c r="G35" s="104"/>
      <c r="H35" s="161">
        <v>1381709</v>
      </c>
      <c r="I35" s="104">
        <f>[3]Hoja2!$Q$4476</f>
        <v>70830</v>
      </c>
      <c r="J35" s="104"/>
      <c r="K35" s="106">
        <f>SUBTOTAL(9,I35:J35)</f>
        <v>70830</v>
      </c>
      <c r="L35" s="106">
        <v>0</v>
      </c>
      <c r="M35" s="106">
        <v>0</v>
      </c>
      <c r="N35" s="106">
        <f>SUM(L35:M35)</f>
        <v>0</v>
      </c>
      <c r="O35" s="106">
        <v>0</v>
      </c>
      <c r="P35" s="106">
        <f>+K35-N35</f>
        <v>70830</v>
      </c>
      <c r="Q35" s="106">
        <f>SUBTOTAL(9,O35:P35)</f>
        <v>70830</v>
      </c>
      <c r="R35" s="49" t="e">
        <f>VLOOKUP(H35,'[2]legalizacion abono  abril 2022'!$B$8:$E$20,4,0)</f>
        <v>#N/A</v>
      </c>
      <c r="S35" s="40" t="e">
        <v>#N/A</v>
      </c>
      <c r="T35" s="3" t="e">
        <v>#N/A</v>
      </c>
      <c r="U35" s="3" t="e">
        <v>#N/A</v>
      </c>
      <c r="V35" s="3" t="e">
        <f>VLOOKUP(H35,[1]COMFENALCO!$B$2:$E$10,4,0)</f>
        <v>#N/A</v>
      </c>
    </row>
    <row r="36" spans="1:23" s="2" customFormat="1" ht="15" customHeight="1" x14ac:dyDescent="0.2">
      <c r="A36" s="78"/>
      <c r="B36" s="41"/>
      <c r="C36" s="41"/>
      <c r="D36" s="31" t="s">
        <v>18</v>
      </c>
      <c r="E36" s="42"/>
      <c r="F36" s="42"/>
      <c r="G36" s="42"/>
      <c r="H36" s="156"/>
      <c r="I36" s="79">
        <f t="shared" ref="I36:Q36" si="21">SUM(I33:I35)</f>
        <v>1035805</v>
      </c>
      <c r="J36" s="79">
        <f t="shared" si="21"/>
        <v>0</v>
      </c>
      <c r="K36" s="79">
        <f t="shared" si="21"/>
        <v>1035805</v>
      </c>
      <c r="L36" s="79">
        <f t="shared" si="21"/>
        <v>196524</v>
      </c>
      <c r="M36" s="79">
        <f t="shared" si="21"/>
        <v>0</v>
      </c>
      <c r="N36" s="79">
        <f t="shared" si="21"/>
        <v>196524</v>
      </c>
      <c r="O36" s="79">
        <f t="shared" si="21"/>
        <v>0</v>
      </c>
      <c r="P36" s="79">
        <f t="shared" si="21"/>
        <v>839281</v>
      </c>
      <c r="Q36" s="107">
        <f t="shared" si="21"/>
        <v>839281</v>
      </c>
      <c r="R36" s="49" t="e">
        <f>VLOOKUP(H36,'[2]legalizacion abono  abril 2022'!$B$8:$E$20,4,0)</f>
        <v>#N/A</v>
      </c>
      <c r="S36" s="40" t="e">
        <v>#N/A</v>
      </c>
      <c r="T36" s="3" t="e">
        <v>#N/A</v>
      </c>
      <c r="U36" s="3" t="e">
        <v>#N/A</v>
      </c>
      <c r="V36" s="3" t="e">
        <f>VLOOKUP(H36,[1]COMFENALCO!$B$2:$E$10,4,0)</f>
        <v>#N/A</v>
      </c>
      <c r="W36" s="3"/>
    </row>
    <row r="37" spans="1:23" x14ac:dyDescent="0.2">
      <c r="A37" s="108">
        <v>44341</v>
      </c>
      <c r="B37" s="34">
        <v>44726</v>
      </c>
      <c r="C37" s="34"/>
      <c r="D37" s="27" t="s">
        <v>104</v>
      </c>
      <c r="E37" s="112"/>
      <c r="F37" s="111" t="s">
        <v>105</v>
      </c>
      <c r="G37" s="109"/>
      <c r="H37" s="162">
        <v>1327521</v>
      </c>
      <c r="I37" s="110">
        <v>30800</v>
      </c>
      <c r="J37" s="88"/>
      <c r="K37" s="29">
        <f t="shared" ref="K37:K43" si="22">SUBTOTAL(9,I37:J37)</f>
        <v>30800</v>
      </c>
      <c r="L37" s="29">
        <v>0</v>
      </c>
      <c r="M37" s="29">
        <v>0</v>
      </c>
      <c r="N37" s="29">
        <f t="shared" ref="N37:N43" si="23">SUM(L37:M37)</f>
        <v>0</v>
      </c>
      <c r="O37" s="29">
        <v>0</v>
      </c>
      <c r="P37" s="29">
        <f t="shared" ref="P37:P43" si="24">+K37-N37</f>
        <v>30800</v>
      </c>
      <c r="Q37" s="29">
        <f t="shared" ref="Q37:Q43" si="25">SUBTOTAL(9,O37:P37)</f>
        <v>30800</v>
      </c>
      <c r="S37" s="40" t="e">
        <v>#N/A</v>
      </c>
      <c r="T37" s="3" t="e">
        <v>#N/A</v>
      </c>
      <c r="U37" s="3" t="e">
        <v>#N/A</v>
      </c>
      <c r="V37" s="3" t="e">
        <f>VLOOKUP(H37,[1]COMFENALCO!$B$2:$E$10,4,0)</f>
        <v>#N/A</v>
      </c>
    </row>
    <row r="38" spans="1:23" x14ac:dyDescent="0.2">
      <c r="A38" s="108">
        <v>44341</v>
      </c>
      <c r="B38" s="34">
        <v>44726</v>
      </c>
      <c r="C38" s="34"/>
      <c r="D38" s="27" t="s">
        <v>104</v>
      </c>
      <c r="E38" s="112"/>
      <c r="F38" s="111" t="s">
        <v>105</v>
      </c>
      <c r="G38" s="109"/>
      <c r="H38" s="162">
        <v>1327549</v>
      </c>
      <c r="I38" s="110">
        <v>42200</v>
      </c>
      <c r="J38" s="88"/>
      <c r="K38" s="29">
        <f t="shared" si="22"/>
        <v>42200</v>
      </c>
      <c r="L38" s="29">
        <v>0</v>
      </c>
      <c r="M38" s="29">
        <v>0</v>
      </c>
      <c r="N38" s="29">
        <f t="shared" si="23"/>
        <v>0</v>
      </c>
      <c r="O38" s="29">
        <v>0</v>
      </c>
      <c r="P38" s="29">
        <f t="shared" si="24"/>
        <v>42200</v>
      </c>
      <c r="Q38" s="29">
        <f t="shared" si="25"/>
        <v>42200</v>
      </c>
      <c r="S38" s="40" t="e">
        <v>#N/A</v>
      </c>
      <c r="T38" s="3" t="e">
        <v>#N/A</v>
      </c>
      <c r="U38" s="3" t="e">
        <v>#N/A</v>
      </c>
      <c r="V38" s="3" t="e">
        <f>VLOOKUP(H38,[1]COMFENALCO!$B$2:$E$10,4,0)</f>
        <v>#N/A</v>
      </c>
    </row>
    <row r="39" spans="1:23" x14ac:dyDescent="0.2">
      <c r="A39" s="113">
        <v>44724</v>
      </c>
      <c r="B39" s="34">
        <v>44824</v>
      </c>
      <c r="C39" s="34"/>
      <c r="D39" s="27" t="s">
        <v>106</v>
      </c>
      <c r="E39" s="28"/>
      <c r="F39" s="28" t="s">
        <v>107</v>
      </c>
      <c r="G39" s="28"/>
      <c r="H39" s="163">
        <v>1429965</v>
      </c>
      <c r="I39" s="38">
        <v>71850</v>
      </c>
      <c r="J39" s="83"/>
      <c r="K39" s="29">
        <f t="shared" si="22"/>
        <v>71850</v>
      </c>
      <c r="L39" s="91">
        <f>+S39</f>
        <v>0</v>
      </c>
      <c r="M39" s="29">
        <v>0</v>
      </c>
      <c r="N39" s="29">
        <f t="shared" si="23"/>
        <v>0</v>
      </c>
      <c r="O39" s="29">
        <v>0</v>
      </c>
      <c r="P39" s="29">
        <f t="shared" si="24"/>
        <v>71850</v>
      </c>
      <c r="Q39" s="77">
        <f t="shared" si="25"/>
        <v>71850</v>
      </c>
      <c r="S39" s="40"/>
      <c r="V39" s="3" t="e">
        <f>VLOOKUP(H39,[1]COMFENALCO!$B$2:$E$10,4,0)</f>
        <v>#N/A</v>
      </c>
    </row>
    <row r="40" spans="1:23" x14ac:dyDescent="0.2">
      <c r="A40" s="113">
        <v>44730</v>
      </c>
      <c r="B40" s="34">
        <v>44824</v>
      </c>
      <c r="C40" s="34"/>
      <c r="D40" s="27" t="s">
        <v>106</v>
      </c>
      <c r="E40" s="28"/>
      <c r="F40" s="28" t="s">
        <v>107</v>
      </c>
      <c r="G40" s="28"/>
      <c r="H40" s="163">
        <v>1431678</v>
      </c>
      <c r="I40" s="38">
        <v>74830</v>
      </c>
      <c r="J40" s="83"/>
      <c r="K40" s="29">
        <f t="shared" si="22"/>
        <v>74830</v>
      </c>
      <c r="L40" s="91">
        <f>+S40</f>
        <v>0</v>
      </c>
      <c r="M40" s="29">
        <v>0</v>
      </c>
      <c r="N40" s="29">
        <f t="shared" si="23"/>
        <v>0</v>
      </c>
      <c r="O40" s="29">
        <v>0</v>
      </c>
      <c r="P40" s="29">
        <f t="shared" si="24"/>
        <v>74830</v>
      </c>
      <c r="Q40" s="77">
        <f t="shared" si="25"/>
        <v>74830</v>
      </c>
      <c r="R40" s="114"/>
      <c r="S40" s="40"/>
      <c r="V40" s="3" t="e">
        <f>VLOOKUP(H40,[1]COMFENALCO!$B$2:$E$10,4,0)</f>
        <v>#N/A</v>
      </c>
    </row>
    <row r="41" spans="1:23" x14ac:dyDescent="0.2">
      <c r="A41" s="113">
        <v>44733</v>
      </c>
      <c r="B41" s="34">
        <v>44824</v>
      </c>
      <c r="C41" s="34"/>
      <c r="D41" s="27" t="s">
        <v>106</v>
      </c>
      <c r="E41" s="28"/>
      <c r="F41" s="28" t="s">
        <v>107</v>
      </c>
      <c r="G41" s="28"/>
      <c r="H41" s="163">
        <v>1432094</v>
      </c>
      <c r="I41" s="38">
        <v>66550</v>
      </c>
      <c r="J41" s="83"/>
      <c r="K41" s="29">
        <f t="shared" si="22"/>
        <v>66550</v>
      </c>
      <c r="L41" s="91">
        <f>+S41</f>
        <v>0</v>
      </c>
      <c r="M41" s="29">
        <v>0</v>
      </c>
      <c r="N41" s="29">
        <f t="shared" si="23"/>
        <v>0</v>
      </c>
      <c r="O41" s="29">
        <v>0</v>
      </c>
      <c r="P41" s="29">
        <f t="shared" si="24"/>
        <v>66550</v>
      </c>
      <c r="Q41" s="77">
        <f t="shared" si="25"/>
        <v>66550</v>
      </c>
      <c r="R41" s="114"/>
      <c r="S41" s="40"/>
      <c r="V41" s="3" t="e">
        <f>VLOOKUP(H41,[1]COMFENALCO!$B$2:$E$10,4,0)</f>
        <v>#N/A</v>
      </c>
    </row>
    <row r="42" spans="1:23" x14ac:dyDescent="0.2">
      <c r="A42" s="113">
        <v>44825</v>
      </c>
      <c r="B42" s="34">
        <v>44915</v>
      </c>
      <c r="C42" s="34"/>
      <c r="D42" s="27" t="s">
        <v>108</v>
      </c>
      <c r="E42" s="28"/>
      <c r="F42" s="28" t="s">
        <v>109</v>
      </c>
      <c r="G42" s="28"/>
      <c r="H42" s="163">
        <v>1457425</v>
      </c>
      <c r="I42" s="38">
        <v>206390</v>
      </c>
      <c r="J42" s="83"/>
      <c r="K42" s="29">
        <f t="shared" si="22"/>
        <v>206390</v>
      </c>
      <c r="L42" s="29">
        <v>0</v>
      </c>
      <c r="M42" s="29">
        <v>206390</v>
      </c>
      <c r="N42" s="29">
        <f t="shared" si="23"/>
        <v>206390</v>
      </c>
      <c r="O42" s="29">
        <v>0</v>
      </c>
      <c r="P42" s="29">
        <f t="shared" si="24"/>
        <v>0</v>
      </c>
      <c r="Q42" s="29">
        <f t="shared" si="25"/>
        <v>0</v>
      </c>
      <c r="R42" s="39"/>
      <c r="S42" s="40"/>
      <c r="V42" s="3" t="e">
        <f>VLOOKUP(H42,[1]COMFENALCO!$B$2:$E$10,4,0)</f>
        <v>#N/A</v>
      </c>
    </row>
    <row r="43" spans="1:23" x14ac:dyDescent="0.2">
      <c r="A43" s="113">
        <v>44832</v>
      </c>
      <c r="B43" s="34">
        <v>44915</v>
      </c>
      <c r="C43" s="34"/>
      <c r="D43" s="27" t="s">
        <v>108</v>
      </c>
      <c r="E43" s="28"/>
      <c r="F43" s="28" t="s">
        <v>109</v>
      </c>
      <c r="G43" s="28"/>
      <c r="H43" s="163">
        <v>1459476</v>
      </c>
      <c r="I43" s="38">
        <v>122090</v>
      </c>
      <c r="J43" s="83"/>
      <c r="K43" s="29">
        <f t="shared" si="22"/>
        <v>122090</v>
      </c>
      <c r="L43" s="29">
        <v>0</v>
      </c>
      <c r="M43" s="29">
        <v>0</v>
      </c>
      <c r="N43" s="29">
        <f t="shared" si="23"/>
        <v>0</v>
      </c>
      <c r="O43" s="29">
        <v>0</v>
      </c>
      <c r="P43" s="29">
        <f t="shared" si="24"/>
        <v>122090</v>
      </c>
      <c r="Q43" s="29">
        <f t="shared" si="25"/>
        <v>122090</v>
      </c>
      <c r="R43" s="39"/>
      <c r="S43" s="40"/>
      <c r="V43" s="3" t="e">
        <f>VLOOKUP(H43,[1]COMFENALCO!$B$2:$E$10,4,0)</f>
        <v>#N/A</v>
      </c>
    </row>
    <row r="44" spans="1:23" s="2" customFormat="1" x14ac:dyDescent="0.2">
      <c r="A44" s="78"/>
      <c r="B44" s="41"/>
      <c r="C44" s="41"/>
      <c r="D44" s="31"/>
      <c r="E44" s="42" t="s">
        <v>18</v>
      </c>
      <c r="F44" s="42"/>
      <c r="G44" s="42"/>
      <c r="H44" s="156"/>
      <c r="I44" s="79">
        <f t="shared" ref="I44:Q44" si="26">SUM(I36:I43)</f>
        <v>1650515</v>
      </c>
      <c r="J44" s="79">
        <f t="shared" si="26"/>
        <v>0</v>
      </c>
      <c r="K44" s="79">
        <f t="shared" si="26"/>
        <v>1650515</v>
      </c>
      <c r="L44" s="79">
        <f t="shared" si="26"/>
        <v>196524</v>
      </c>
      <c r="M44" s="79">
        <f t="shared" si="26"/>
        <v>206390</v>
      </c>
      <c r="N44" s="79">
        <f t="shared" si="26"/>
        <v>402914</v>
      </c>
      <c r="O44" s="79">
        <f t="shared" si="26"/>
        <v>0</v>
      </c>
      <c r="P44" s="79">
        <f t="shared" si="26"/>
        <v>1247601</v>
      </c>
      <c r="Q44" s="79">
        <f t="shared" si="26"/>
        <v>1247601</v>
      </c>
      <c r="R44" s="115"/>
      <c r="S44" s="116"/>
      <c r="V44" s="3" t="e">
        <f>VLOOKUP(H44,[1]COMFENALCO!$B$2:$E$10,4,0)</f>
        <v>#N/A</v>
      </c>
      <c r="W44" s="3"/>
    </row>
    <row r="45" spans="1:23" x14ac:dyDescent="0.2">
      <c r="A45" s="117">
        <v>44923</v>
      </c>
      <c r="B45" s="34">
        <v>44940</v>
      </c>
      <c r="C45" s="34"/>
      <c r="D45" s="27" t="s">
        <v>110</v>
      </c>
      <c r="E45" s="28"/>
      <c r="F45" s="28" t="s">
        <v>111</v>
      </c>
      <c r="G45" s="28"/>
      <c r="H45" s="155">
        <v>1484606</v>
      </c>
      <c r="I45" s="118">
        <v>348830</v>
      </c>
      <c r="J45" s="83"/>
      <c r="K45" s="29">
        <f>SUBTOTAL(9,I45:J45)</f>
        <v>348830</v>
      </c>
      <c r="L45" s="29">
        <v>0</v>
      </c>
      <c r="M45" s="29">
        <v>0</v>
      </c>
      <c r="N45" s="29">
        <f>SUM(L45:M45)</f>
        <v>0</v>
      </c>
      <c r="O45" s="29">
        <v>0</v>
      </c>
      <c r="P45" s="29">
        <f>+K45-N45</f>
        <v>348830</v>
      </c>
      <c r="Q45" s="29">
        <f>SUBTOTAL(9,O45:P45)</f>
        <v>348830</v>
      </c>
      <c r="V45" s="3" t="e">
        <f>VLOOKUP(H45,[1]COMFENALCO!$B$2:$E$10,4,0)</f>
        <v>#N/A</v>
      </c>
    </row>
    <row r="46" spans="1:23" ht="12" x14ac:dyDescent="0.2">
      <c r="A46" s="45">
        <v>44911</v>
      </c>
      <c r="B46" s="46">
        <v>44940</v>
      </c>
      <c r="C46" s="46"/>
      <c r="D46" s="27" t="s">
        <v>112</v>
      </c>
      <c r="E46" s="28"/>
      <c r="F46" s="27" t="s">
        <v>113</v>
      </c>
      <c r="G46" s="27"/>
      <c r="H46" s="164">
        <v>1482260</v>
      </c>
      <c r="I46" s="47">
        <v>140820</v>
      </c>
      <c r="J46" s="29">
        <v>0</v>
      </c>
      <c r="K46" s="29">
        <f>SUBTOTAL(9,I46:J46)</f>
        <v>140820</v>
      </c>
      <c r="L46" s="29">
        <v>0</v>
      </c>
      <c r="M46" s="29">
        <v>140820</v>
      </c>
      <c r="N46" s="29">
        <f>SUM(L46:M46)</f>
        <v>140820</v>
      </c>
      <c r="O46" s="29">
        <v>0</v>
      </c>
      <c r="P46" s="29">
        <f>+K46-N46</f>
        <v>0</v>
      </c>
      <c r="Q46" s="29">
        <f>SUBTOTAL(9,O46:P46)</f>
        <v>0</v>
      </c>
      <c r="R46" s="3"/>
      <c r="S46" s="3"/>
      <c r="V46" s="3" t="e">
        <f>VLOOKUP(H46,[1]COMFENALCO!$B$2:$E$10,4,0)</f>
        <v>#N/A</v>
      </c>
    </row>
    <row r="47" spans="1:23" ht="12" x14ac:dyDescent="0.2">
      <c r="A47" s="119">
        <v>44935</v>
      </c>
      <c r="B47" s="46">
        <v>44972</v>
      </c>
      <c r="C47" s="46"/>
      <c r="D47" s="27" t="s">
        <v>114</v>
      </c>
      <c r="E47" s="28"/>
      <c r="F47" s="27" t="s">
        <v>115</v>
      </c>
      <c r="G47" s="27"/>
      <c r="H47" s="164">
        <v>1486272</v>
      </c>
      <c r="I47" s="47">
        <v>105770</v>
      </c>
      <c r="J47" s="29"/>
      <c r="K47" s="29">
        <f>SUBTOTAL(9,I47:J47)</f>
        <v>105770</v>
      </c>
      <c r="L47" s="29">
        <v>0</v>
      </c>
      <c r="M47" s="29">
        <v>0</v>
      </c>
      <c r="N47" s="29">
        <f>SUM(L47:M47)</f>
        <v>0</v>
      </c>
      <c r="O47" s="29">
        <v>0</v>
      </c>
      <c r="P47" s="29">
        <f>+K47-N47</f>
        <v>105770</v>
      </c>
      <c r="Q47" s="29">
        <f>SUBTOTAL(9,O47:P47)</f>
        <v>105770</v>
      </c>
      <c r="R47" s="3"/>
      <c r="S47" s="3"/>
      <c r="V47" s="3" t="e">
        <f>VLOOKUP(H47,[1]COMFENALCO!$B$2:$E$10,4,0)</f>
        <v>#N/A</v>
      </c>
    </row>
    <row r="48" spans="1:23" ht="12" x14ac:dyDescent="0.2">
      <c r="A48" s="119">
        <v>44952</v>
      </c>
      <c r="B48" s="46">
        <v>44972</v>
      </c>
      <c r="C48" s="46"/>
      <c r="D48" s="27" t="s">
        <v>114</v>
      </c>
      <c r="E48" s="28"/>
      <c r="F48" s="27" t="s">
        <v>115</v>
      </c>
      <c r="G48" s="27"/>
      <c r="H48" s="164">
        <v>1490598</v>
      </c>
      <c r="I48" s="47">
        <v>46400</v>
      </c>
      <c r="J48" s="29"/>
      <c r="K48" s="29">
        <f>SUBTOTAL(9,I48:J48)</f>
        <v>46400</v>
      </c>
      <c r="L48" s="29">
        <v>0</v>
      </c>
      <c r="M48" s="29">
        <v>0</v>
      </c>
      <c r="N48" s="29">
        <f>SUM(L48:M48)</f>
        <v>0</v>
      </c>
      <c r="O48" s="29">
        <v>0</v>
      </c>
      <c r="P48" s="29">
        <f>+K48-N48</f>
        <v>46400</v>
      </c>
      <c r="Q48" s="29">
        <f>SUBTOTAL(9,O48:P48)</f>
        <v>46400</v>
      </c>
      <c r="R48" s="3"/>
      <c r="S48" s="3"/>
      <c r="V48" s="3" t="e">
        <f>VLOOKUP(H48,[1]COMFENALCO!$B$2:$E$10,4,0)</f>
        <v>#N/A</v>
      </c>
    </row>
    <row r="49" spans="1:19" s="2" customFormat="1" x14ac:dyDescent="0.2">
      <c r="A49" s="78"/>
      <c r="B49" s="41"/>
      <c r="C49" s="41"/>
      <c r="D49" s="31"/>
      <c r="E49" s="42" t="s">
        <v>18</v>
      </c>
      <c r="F49" s="42"/>
      <c r="G49" s="42"/>
      <c r="H49" s="156"/>
      <c r="I49" s="79">
        <f>SUM(I44:I48)</f>
        <v>2292335</v>
      </c>
      <c r="J49" s="79">
        <f t="shared" ref="J49:Q49" si="27">SUM(J44:J48)</f>
        <v>0</v>
      </c>
      <c r="K49" s="79">
        <f t="shared" si="27"/>
        <v>2292335</v>
      </c>
      <c r="L49" s="79">
        <f t="shared" si="27"/>
        <v>196524</v>
      </c>
      <c r="M49" s="79">
        <f t="shared" si="27"/>
        <v>347210</v>
      </c>
      <c r="N49" s="79">
        <f t="shared" si="27"/>
        <v>543734</v>
      </c>
      <c r="O49" s="79">
        <f t="shared" si="27"/>
        <v>0</v>
      </c>
      <c r="P49" s="79">
        <f t="shared" si="27"/>
        <v>1748601</v>
      </c>
      <c r="Q49" s="120">
        <f t="shared" si="27"/>
        <v>1748601</v>
      </c>
      <c r="R49" s="56"/>
      <c r="S49" s="116"/>
    </row>
    <row r="54" spans="1:19" x14ac:dyDescent="0.2">
      <c r="L54" s="3"/>
    </row>
    <row r="55" spans="1:19" x14ac:dyDescent="0.2">
      <c r="L55" s="3"/>
    </row>
    <row r="56" spans="1:19" x14ac:dyDescent="0.2">
      <c r="L56" s="3"/>
    </row>
  </sheetData>
  <mergeCells count="3">
    <mergeCell ref="H8:K8"/>
    <mergeCell ref="L8:N8"/>
    <mergeCell ref="O8:Q8"/>
  </mergeCells>
  <conditionalFormatting sqref="H39:H43">
    <cfRule type="duplicateValues" dxfId="17" priority="21" stopIfTrue="1"/>
    <cfRule type="duplicateValues" dxfId="16" priority="22" stopIfTrue="1"/>
  </conditionalFormatting>
  <conditionalFormatting sqref="H49:H65320 H1:H45">
    <cfRule type="duplicateValues" dxfId="15" priority="1" stopIfTrue="1"/>
    <cfRule type="duplicateValues" dxfId="14" priority="2" stopIfTrue="1"/>
  </conditionalFormatting>
  <pageMargins left="0.87" right="0.15748031496062992" top="0.98425196850393704" bottom="0.98425196850393704" header="0" footer="0"/>
  <pageSetup scale="75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9BB96-E78E-45E4-B6B1-865CD35F65E4}">
  <dimension ref="A1:L18"/>
  <sheetViews>
    <sheetView tabSelected="1" zoomScale="130" zoomScaleNormal="130" workbookViewId="0">
      <selection activeCell="O12" sqref="O12"/>
    </sheetView>
  </sheetViews>
  <sheetFormatPr baseColWidth="10" defaultRowHeight="11.25" x14ac:dyDescent="0.2"/>
  <cols>
    <col min="1" max="1" width="13.7109375" style="124" customWidth="1"/>
    <col min="2" max="2" width="21.42578125" style="124" customWidth="1"/>
    <col min="3" max="3" width="13.28515625" style="124" customWidth="1"/>
    <col min="4" max="6" width="11.42578125" style="124"/>
    <col min="7" max="7" width="11.42578125" style="125"/>
    <col min="8" max="8" width="11.42578125" style="126"/>
    <col min="9" max="12" width="11.42578125" style="127"/>
    <col min="13" max="16384" width="11.42578125" style="124"/>
  </cols>
  <sheetData>
    <row r="1" spans="1:12" x14ac:dyDescent="0.2">
      <c r="A1" s="123" t="s">
        <v>116</v>
      </c>
      <c r="B1" s="123"/>
      <c r="C1" s="123"/>
    </row>
    <row r="2" spans="1:12" x14ac:dyDescent="0.2">
      <c r="A2" s="123" t="s">
        <v>136</v>
      </c>
      <c r="B2" s="123"/>
      <c r="C2" s="123"/>
    </row>
    <row r="3" spans="1:12" x14ac:dyDescent="0.2">
      <c r="A3" s="123"/>
      <c r="B3" s="123"/>
      <c r="C3" s="123"/>
    </row>
    <row r="5" spans="1:12" ht="45" x14ac:dyDescent="0.2">
      <c r="A5" s="128" t="s">
        <v>117</v>
      </c>
      <c r="B5" s="128" t="s">
        <v>118</v>
      </c>
      <c r="C5" s="129" t="s">
        <v>119</v>
      </c>
      <c r="D5" s="129" t="s">
        <v>120</v>
      </c>
      <c r="E5" s="129" t="s">
        <v>121</v>
      </c>
      <c r="F5" s="128" t="s">
        <v>122</v>
      </c>
      <c r="G5" s="130" t="s">
        <v>123</v>
      </c>
      <c r="H5" s="128" t="s">
        <v>124</v>
      </c>
      <c r="I5" s="128" t="s">
        <v>125</v>
      </c>
      <c r="J5" s="128" t="s">
        <v>126</v>
      </c>
      <c r="K5" s="128" t="s">
        <v>127</v>
      </c>
      <c r="L5" s="128" t="s">
        <v>128</v>
      </c>
    </row>
    <row r="6" spans="1:12" x14ac:dyDescent="0.2">
      <c r="A6" s="131" t="s">
        <v>129</v>
      </c>
      <c r="B6" s="132" t="s">
        <v>130</v>
      </c>
      <c r="C6" s="134">
        <v>5752</v>
      </c>
      <c r="D6" s="134" t="s">
        <v>135</v>
      </c>
      <c r="E6" s="138">
        <v>1249310</v>
      </c>
      <c r="F6" s="139">
        <v>44045</v>
      </c>
      <c r="G6" s="139">
        <v>44097</v>
      </c>
      <c r="H6" s="140">
        <v>893205</v>
      </c>
      <c r="I6" s="137">
        <v>696681</v>
      </c>
      <c r="J6" s="134" t="s">
        <v>132</v>
      </c>
      <c r="K6" s="137" t="s">
        <v>133</v>
      </c>
      <c r="L6" s="137" t="s">
        <v>134</v>
      </c>
    </row>
    <row r="7" spans="1:12" x14ac:dyDescent="0.2">
      <c r="A7" s="131" t="s">
        <v>129</v>
      </c>
      <c r="B7" s="132" t="s">
        <v>130</v>
      </c>
      <c r="C7" s="28">
        <v>1377684</v>
      </c>
      <c r="D7" s="133" t="s">
        <v>131</v>
      </c>
      <c r="E7" s="141">
        <v>1377684</v>
      </c>
      <c r="F7" s="135">
        <v>44526</v>
      </c>
      <c r="G7" s="136">
        <v>44561</v>
      </c>
      <c r="H7" s="137">
        <v>71770</v>
      </c>
      <c r="I7" s="137">
        <v>71770</v>
      </c>
      <c r="J7" s="134" t="s">
        <v>132</v>
      </c>
      <c r="K7" s="137" t="s">
        <v>133</v>
      </c>
      <c r="L7" s="137" t="s">
        <v>134</v>
      </c>
    </row>
    <row r="8" spans="1:12" x14ac:dyDescent="0.2">
      <c r="A8" s="131" t="s">
        <v>129</v>
      </c>
      <c r="B8" s="132" t="s">
        <v>130</v>
      </c>
      <c r="C8" s="142">
        <v>1381709</v>
      </c>
      <c r="D8" s="134" t="s">
        <v>131</v>
      </c>
      <c r="E8" s="141">
        <v>1381709</v>
      </c>
      <c r="F8" s="135">
        <v>44524</v>
      </c>
      <c r="G8" s="136">
        <v>44561</v>
      </c>
      <c r="H8" s="137">
        <v>70830</v>
      </c>
      <c r="I8" s="137">
        <v>70830</v>
      </c>
      <c r="J8" s="134" t="s">
        <v>132</v>
      </c>
      <c r="K8" s="137" t="s">
        <v>133</v>
      </c>
      <c r="L8" s="137" t="s">
        <v>134</v>
      </c>
    </row>
    <row r="9" spans="1:12" x14ac:dyDescent="0.2">
      <c r="A9" s="131" t="s">
        <v>129</v>
      </c>
      <c r="B9" s="132" t="s">
        <v>130</v>
      </c>
      <c r="C9" s="142">
        <v>1327521</v>
      </c>
      <c r="D9" s="134" t="s">
        <v>131</v>
      </c>
      <c r="E9" s="143">
        <v>1327521</v>
      </c>
      <c r="F9" s="135">
        <v>44341</v>
      </c>
      <c r="G9" s="136">
        <v>44726</v>
      </c>
      <c r="H9" s="137">
        <v>30800</v>
      </c>
      <c r="I9" s="137">
        <v>30800</v>
      </c>
      <c r="J9" s="134" t="s">
        <v>132</v>
      </c>
      <c r="K9" s="137" t="s">
        <v>133</v>
      </c>
      <c r="L9" s="137" t="s">
        <v>134</v>
      </c>
    </row>
    <row r="10" spans="1:12" x14ac:dyDescent="0.2">
      <c r="A10" s="131" t="s">
        <v>129</v>
      </c>
      <c r="B10" s="132" t="s">
        <v>130</v>
      </c>
      <c r="C10" s="142">
        <v>1327549</v>
      </c>
      <c r="D10" s="134" t="s">
        <v>131</v>
      </c>
      <c r="E10" s="143">
        <v>1327549</v>
      </c>
      <c r="F10" s="135">
        <v>44341</v>
      </c>
      <c r="G10" s="136">
        <v>44726</v>
      </c>
      <c r="H10" s="137">
        <v>42200</v>
      </c>
      <c r="I10" s="137">
        <v>42200</v>
      </c>
      <c r="J10" s="134" t="s">
        <v>132</v>
      </c>
      <c r="K10" s="137" t="s">
        <v>133</v>
      </c>
      <c r="L10" s="137" t="s">
        <v>134</v>
      </c>
    </row>
    <row r="11" spans="1:12" x14ac:dyDescent="0.2">
      <c r="A11" s="131" t="s">
        <v>129</v>
      </c>
      <c r="B11" s="132" t="s">
        <v>130</v>
      </c>
      <c r="C11" s="142">
        <v>1429965</v>
      </c>
      <c r="D11" s="134" t="s">
        <v>131</v>
      </c>
      <c r="E11" s="144">
        <v>1429965</v>
      </c>
      <c r="F11" s="135">
        <v>44724</v>
      </c>
      <c r="G11" s="136">
        <v>44824</v>
      </c>
      <c r="H11" s="137">
        <v>71850</v>
      </c>
      <c r="I11" s="137">
        <v>71850</v>
      </c>
      <c r="J11" s="134" t="s">
        <v>132</v>
      </c>
      <c r="K11" s="137" t="s">
        <v>133</v>
      </c>
      <c r="L11" s="137" t="s">
        <v>134</v>
      </c>
    </row>
    <row r="12" spans="1:12" x14ac:dyDescent="0.2">
      <c r="A12" s="131" t="s">
        <v>129</v>
      </c>
      <c r="B12" s="132" t="s">
        <v>130</v>
      </c>
      <c r="C12" s="142">
        <v>1431678</v>
      </c>
      <c r="D12" s="134" t="s">
        <v>131</v>
      </c>
      <c r="E12" s="144">
        <v>1431678</v>
      </c>
      <c r="F12" s="135">
        <v>44730</v>
      </c>
      <c r="G12" s="136">
        <v>44824</v>
      </c>
      <c r="H12" s="137">
        <v>74830</v>
      </c>
      <c r="I12" s="137">
        <v>74830</v>
      </c>
      <c r="J12" s="134" t="s">
        <v>132</v>
      </c>
      <c r="K12" s="137" t="s">
        <v>133</v>
      </c>
      <c r="L12" s="137" t="s">
        <v>134</v>
      </c>
    </row>
    <row r="13" spans="1:12" x14ac:dyDescent="0.2">
      <c r="A13" s="131" t="s">
        <v>129</v>
      </c>
      <c r="B13" s="132" t="s">
        <v>130</v>
      </c>
      <c r="C13" s="142">
        <v>1432094</v>
      </c>
      <c r="D13" s="134" t="s">
        <v>131</v>
      </c>
      <c r="E13" s="144">
        <v>1432094</v>
      </c>
      <c r="F13" s="135">
        <v>44733</v>
      </c>
      <c r="G13" s="136">
        <v>44824</v>
      </c>
      <c r="H13" s="137">
        <v>66550</v>
      </c>
      <c r="I13" s="137">
        <v>66550</v>
      </c>
      <c r="J13" s="134" t="s">
        <v>132</v>
      </c>
      <c r="K13" s="137" t="s">
        <v>133</v>
      </c>
      <c r="L13" s="137" t="s">
        <v>134</v>
      </c>
    </row>
    <row r="14" spans="1:12" x14ac:dyDescent="0.2">
      <c r="A14" s="131" t="s">
        <v>129</v>
      </c>
      <c r="B14" s="132" t="s">
        <v>130</v>
      </c>
      <c r="C14" s="142">
        <v>1459476</v>
      </c>
      <c r="D14" s="134" t="s">
        <v>131</v>
      </c>
      <c r="E14" s="144">
        <v>1459476</v>
      </c>
      <c r="F14" s="135">
        <v>44832</v>
      </c>
      <c r="G14" s="136">
        <v>44915</v>
      </c>
      <c r="H14" s="137">
        <v>122090</v>
      </c>
      <c r="I14" s="137">
        <v>122090</v>
      </c>
      <c r="J14" s="134" t="s">
        <v>132</v>
      </c>
      <c r="K14" s="137" t="s">
        <v>133</v>
      </c>
      <c r="L14" s="137" t="s">
        <v>134</v>
      </c>
    </row>
    <row r="15" spans="1:12" x14ac:dyDescent="0.2">
      <c r="A15" s="131" t="s">
        <v>129</v>
      </c>
      <c r="B15" s="132" t="s">
        <v>130</v>
      </c>
      <c r="C15" s="133">
        <v>1484606</v>
      </c>
      <c r="D15" s="134" t="s">
        <v>131</v>
      </c>
      <c r="E15" s="144">
        <v>1484606</v>
      </c>
      <c r="F15" s="135">
        <v>44923</v>
      </c>
      <c r="G15" s="136">
        <v>44940</v>
      </c>
      <c r="H15" s="137">
        <v>348830</v>
      </c>
      <c r="I15" s="137">
        <v>348830</v>
      </c>
      <c r="J15" s="134" t="s">
        <v>132</v>
      </c>
      <c r="K15" s="137" t="s">
        <v>133</v>
      </c>
      <c r="L15" s="137" t="s">
        <v>134</v>
      </c>
    </row>
    <row r="16" spans="1:12" ht="12" x14ac:dyDescent="0.2">
      <c r="A16" s="131" t="s">
        <v>129</v>
      </c>
      <c r="B16" s="132" t="s">
        <v>130</v>
      </c>
      <c r="C16" s="145">
        <v>1486272</v>
      </c>
      <c r="D16" s="134" t="s">
        <v>131</v>
      </c>
      <c r="E16" s="145">
        <v>1486272</v>
      </c>
      <c r="F16" s="146">
        <v>44935</v>
      </c>
      <c r="G16" s="75">
        <v>44972</v>
      </c>
      <c r="H16" s="147">
        <v>105770</v>
      </c>
      <c r="I16" s="147">
        <v>105770</v>
      </c>
      <c r="J16" s="134" t="s">
        <v>132</v>
      </c>
      <c r="K16" s="137" t="s">
        <v>133</v>
      </c>
      <c r="L16" s="137" t="s">
        <v>134</v>
      </c>
    </row>
    <row r="17" spans="1:12" ht="12" x14ac:dyDescent="0.2">
      <c r="A17" s="131" t="s">
        <v>129</v>
      </c>
      <c r="B17" s="132" t="s">
        <v>130</v>
      </c>
      <c r="C17" s="145">
        <v>1490598</v>
      </c>
      <c r="D17" s="134" t="s">
        <v>131</v>
      </c>
      <c r="E17" s="145">
        <v>1490598</v>
      </c>
      <c r="F17" s="146">
        <v>44952</v>
      </c>
      <c r="G17" s="75">
        <v>44972</v>
      </c>
      <c r="H17" s="147">
        <v>46400</v>
      </c>
      <c r="I17" s="147">
        <v>46400</v>
      </c>
      <c r="J17" s="134" t="s">
        <v>132</v>
      </c>
      <c r="K17" s="137" t="s">
        <v>133</v>
      </c>
      <c r="L17" s="137" t="s">
        <v>134</v>
      </c>
    </row>
    <row r="18" spans="1:12" x14ac:dyDescent="0.2">
      <c r="G18" s="148" t="s">
        <v>18</v>
      </c>
      <c r="H18" s="149">
        <f>SUM(H6:H17)</f>
        <v>1945125</v>
      </c>
      <c r="I18" s="149">
        <f>SUM(I6:I17)</f>
        <v>1748601</v>
      </c>
      <c r="J18" s="149"/>
      <c r="K18" s="149"/>
      <c r="L18" s="150"/>
    </row>
  </sheetData>
  <conditionalFormatting sqref="C8:C14">
    <cfRule type="duplicateValues" dxfId="13" priority="23" stopIfTrue="1"/>
    <cfRule type="duplicateValues" dxfId="12" priority="24" stopIfTrue="1"/>
    <cfRule type="duplicateValues" dxfId="11" priority="25"/>
  </conditionalFormatting>
  <conditionalFormatting sqref="C15">
    <cfRule type="duplicateValues" dxfId="10" priority="35" stopIfTrue="1"/>
    <cfRule type="duplicateValues" dxfId="9" priority="36" stopIfTrue="1"/>
    <cfRule type="duplicateValues" dxfId="8" priority="37"/>
  </conditionalFormatting>
  <conditionalFormatting sqref="E7:E14">
    <cfRule type="duplicateValues" dxfId="7" priority="29" stopIfTrue="1"/>
    <cfRule type="duplicateValues" dxfId="6" priority="30" stopIfTrue="1"/>
  </conditionalFormatting>
  <conditionalFormatting sqref="E11:E14">
    <cfRule type="duplicateValues" dxfId="5" priority="33" stopIfTrue="1"/>
    <cfRule type="duplicateValues" dxfId="4" priority="34" stopIfTrue="1"/>
  </conditionalFormatting>
  <conditionalFormatting sqref="E15">
    <cfRule type="duplicateValues" dxfId="3" priority="38" stopIfTrue="1"/>
    <cfRule type="duplicateValues" dxfId="2" priority="39" stopIfTrue="1"/>
    <cfRule type="duplicateValues" dxfId="1" priority="40" stopIfTrue="1"/>
    <cfRule type="duplicateValues" dxfId="0" priority="41" stopIfTrue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COMFENALCO SUB</vt:lpstr>
      <vt:lpstr>COMFENALCO</vt:lpstr>
      <vt:lpstr>FORMATO CARTERA</vt:lpstr>
      <vt:lpstr>COMFENALCO!Títulos_a_imprimir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2023-06-26T18:10:33Z</dcterms:created>
  <dcterms:modified xsi:type="dcterms:W3CDTF">2024-03-15T18:33:58Z</dcterms:modified>
</cp:coreProperties>
</file>